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45" windowWidth="14430" windowHeight="12405" activeTab="1"/>
  </bookViews>
  <sheets>
    <sheet name="Instructions &amp; Formulae" sheetId="17" r:id="rId1"/>
    <sheet name="Pole &amp; Guy Loading" sheetId="1" r:id="rId2"/>
    <sheet name="Construction" sheetId="5" r:id="rId3"/>
    <sheet name="Metal Pole Deflection" sheetId="22" r:id="rId4"/>
    <sheet name="Wood Poles" sheetId="3" r:id="rId5"/>
    <sheet name="Conductor" sheetId="4" r:id="rId6"/>
    <sheet name="Anchors" sheetId="11" r:id="rId7"/>
    <sheet name="Pole Class" sheetId="15" r:id="rId8"/>
    <sheet name="Ruling Span" sheetId="13" r:id="rId9"/>
    <sheet name="NESC 232-1" sheetId="9" r:id="rId10"/>
    <sheet name="NESC 253-1" sheetId="12" r:id="rId11"/>
    <sheet name="NESC 261-1A" sheetId="14" r:id="rId12"/>
    <sheet name="Union Steel Poles" sheetId="16" r:id="rId13"/>
    <sheet name="Tapp Steel Poles" sheetId="19" r:id="rId14"/>
    <sheet name="McWane CI Poles" sheetId="20" r:id="rId15"/>
    <sheet name="Sheet1" sheetId="23" r:id="rId16"/>
  </sheets>
  <definedNames>
    <definedName name="CC">'Metal Pole Deflection'!$B$25</definedName>
    <definedName name="Conductor">Conductor!$A$4:$Q$214</definedName>
    <definedName name="E">'Metal Pole Deflection'!$B$26</definedName>
    <definedName name="L">'Metal Pole Deflection'!$B$27</definedName>
    <definedName name="McWane">'McWane CI Poles'!$A$2:$K$61</definedName>
    <definedName name="McWane5">'McWane CI Poles'!$F$3:$F$61</definedName>
    <definedName name="NESC235.1">'NESC 253-1'!$C$5:$D$11</definedName>
    <definedName name="NESC261.1">'NESC 261-1A'!$C$6:$D$16</definedName>
    <definedName name="Poles">'Wood Poles'!$A$2:$M$22</definedName>
    <definedName name="RA">'Metal Pole Deflection'!$B$28</definedName>
    <definedName name="RB">'Metal Pole Deflection'!$B$29</definedName>
    <definedName name="t">'Metal Pole Deflection'!$B$30</definedName>
    <definedName name="Tapp">'Tapp Steel Poles'!$A$2:$J$87</definedName>
    <definedName name="Union">'Union Steel Poles'!$A$2:$J$159</definedName>
    <definedName name="W">'Metal Pole Deflection'!$B$31</definedName>
    <definedName name="x">Sheet1!$B$2:$E$361</definedName>
  </definedNames>
  <calcPr calcId="145621"/>
</workbook>
</file>

<file path=xl/calcChain.xml><?xml version="1.0" encoding="utf-8"?>
<calcChain xmlns="http://schemas.openxmlformats.org/spreadsheetml/2006/main">
  <c r="C4" i="1" l="1"/>
  <c r="C3" i="1"/>
  <c r="R4" i="4" l="1"/>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AB3" i="3" l="1"/>
  <c r="AC3" i="3"/>
  <c r="AD3" i="3"/>
  <c r="AE3" i="3"/>
  <c r="AF3" i="3"/>
  <c r="AG3" i="3"/>
  <c r="AH3" i="3"/>
  <c r="AI3" i="3"/>
  <c r="AJ3" i="3"/>
  <c r="AK3" i="3"/>
  <c r="AA3" i="3"/>
  <c r="Z6" i="3" l="1"/>
  <c r="Z7" i="3"/>
  <c r="Z8" i="3"/>
  <c r="Z9" i="3"/>
  <c r="Z10" i="3"/>
  <c r="Z11" i="3"/>
  <c r="Z12" i="3"/>
  <c r="Z13" i="3"/>
  <c r="Z14" i="3"/>
  <c r="Z15" i="3"/>
  <c r="Z16" i="3"/>
  <c r="Z17" i="3"/>
  <c r="Z18" i="3"/>
  <c r="Z19" i="3"/>
  <c r="Z20" i="3"/>
  <c r="Z21" i="3"/>
  <c r="Z22" i="3"/>
  <c r="Z5" i="3"/>
  <c r="AH5" i="3"/>
  <c r="AI5" i="3"/>
  <c r="AJ5" i="3"/>
  <c r="AH7" i="3"/>
  <c r="AI7" i="3"/>
  <c r="AJ7" i="3"/>
  <c r="AH8" i="3"/>
  <c r="AH9" i="3"/>
  <c r="AJ2" i="3"/>
  <c r="AI2" i="3"/>
  <c r="AB2" i="3"/>
  <c r="AA2" i="3"/>
  <c r="AG5" i="3"/>
  <c r="AC6" i="3"/>
  <c r="AE6" i="3"/>
  <c r="AC7" i="3"/>
  <c r="AD7" i="3"/>
  <c r="AE7" i="3"/>
  <c r="AF8" i="3"/>
  <c r="AG8" i="3"/>
  <c r="AG9" i="3"/>
  <c r="AC10" i="3"/>
  <c r="AE10" i="3"/>
  <c r="AC11" i="3"/>
  <c r="AD11" i="3"/>
  <c r="AE11" i="3"/>
  <c r="AF12" i="3"/>
  <c r="AB14" i="3"/>
  <c r="AC14" i="3"/>
  <c r="AE14" i="3"/>
  <c r="AC15" i="3"/>
  <c r="AD15" i="3"/>
  <c r="AE15" i="3"/>
  <c r="AB18" i="3"/>
  <c r="AC18" i="3"/>
  <c r="AE18" i="3"/>
  <c r="AC19" i="3"/>
  <c r="AD19" i="3"/>
  <c r="AE19" i="3"/>
  <c r="AB22" i="3"/>
  <c r="AC22" i="3"/>
  <c r="AA16" i="3"/>
  <c r="Q5" i="3"/>
  <c r="AC5" i="3" s="1"/>
  <c r="R5" i="3"/>
  <c r="AD5" i="3" s="1"/>
  <c r="S5" i="3"/>
  <c r="AE5" i="3" s="1"/>
  <c r="T5" i="3"/>
  <c r="AF5" i="3" s="1"/>
  <c r="U5" i="3"/>
  <c r="V5" i="3"/>
  <c r="W5" i="3"/>
  <c r="X5" i="3"/>
  <c r="Y5" i="3"/>
  <c r="AK5" i="3" s="1"/>
  <c r="Q6" i="3"/>
  <c r="R6" i="3"/>
  <c r="AD6" i="3" s="1"/>
  <c r="S6" i="3"/>
  <c r="T6" i="3"/>
  <c r="AF6" i="3" s="1"/>
  <c r="U6" i="3"/>
  <c r="AG6" i="3" s="1"/>
  <c r="V6" i="3"/>
  <c r="AH6" i="3" s="1"/>
  <c r="W6" i="3"/>
  <c r="AI6" i="3" s="1"/>
  <c r="X6" i="3"/>
  <c r="AJ6" i="3" s="1"/>
  <c r="Y6" i="3"/>
  <c r="AK6" i="3" s="1"/>
  <c r="Q7" i="3"/>
  <c r="R7" i="3"/>
  <c r="S7" i="3"/>
  <c r="T7" i="3"/>
  <c r="AF7" i="3" s="1"/>
  <c r="U7" i="3"/>
  <c r="AG7" i="3" s="1"/>
  <c r="V7" i="3"/>
  <c r="W7" i="3"/>
  <c r="X7" i="3"/>
  <c r="Q8" i="3"/>
  <c r="AC8" i="3" s="1"/>
  <c r="R8" i="3"/>
  <c r="AD8" i="3" s="1"/>
  <c r="S8" i="3"/>
  <c r="AE8" i="3" s="1"/>
  <c r="T8" i="3"/>
  <c r="U8" i="3"/>
  <c r="V8" i="3"/>
  <c r="W8" i="3"/>
  <c r="AI8" i="3" s="1"/>
  <c r="Q9" i="3"/>
  <c r="AC9" i="3" s="1"/>
  <c r="R9" i="3"/>
  <c r="AD9" i="3" s="1"/>
  <c r="S9" i="3"/>
  <c r="AE9" i="3" s="1"/>
  <c r="T9" i="3"/>
  <c r="AF9" i="3" s="1"/>
  <c r="U9" i="3"/>
  <c r="V9" i="3"/>
  <c r="Q10" i="3"/>
  <c r="R10" i="3"/>
  <c r="AD10" i="3" s="1"/>
  <c r="S10" i="3"/>
  <c r="T10" i="3"/>
  <c r="AF10" i="3" s="1"/>
  <c r="U10" i="3"/>
  <c r="AG10" i="3" s="1"/>
  <c r="V10" i="3"/>
  <c r="AH10" i="3" s="1"/>
  <c r="P11" i="3"/>
  <c r="AB11" i="3" s="1"/>
  <c r="Q11" i="3"/>
  <c r="R11" i="3"/>
  <c r="S11" i="3"/>
  <c r="T11" i="3"/>
  <c r="AF11" i="3" s="1"/>
  <c r="U11" i="3"/>
  <c r="AG11" i="3" s="1"/>
  <c r="P12" i="3"/>
  <c r="AB12" i="3" s="1"/>
  <c r="Q12" i="3"/>
  <c r="AC12" i="3" s="1"/>
  <c r="R12" i="3"/>
  <c r="AD12" i="3" s="1"/>
  <c r="S12" i="3"/>
  <c r="AE12" i="3" s="1"/>
  <c r="T12" i="3"/>
  <c r="P13" i="3"/>
  <c r="AB13" i="3" s="1"/>
  <c r="Q13" i="3"/>
  <c r="AC13" i="3" s="1"/>
  <c r="R13" i="3"/>
  <c r="AD13" i="3" s="1"/>
  <c r="S13" i="3"/>
  <c r="AE13" i="3" s="1"/>
  <c r="T13" i="3"/>
  <c r="AF13" i="3" s="1"/>
  <c r="P14" i="3"/>
  <c r="Q14" i="3"/>
  <c r="R14" i="3"/>
  <c r="AD14" i="3" s="1"/>
  <c r="S14" i="3"/>
  <c r="T14" i="3"/>
  <c r="AF14" i="3" s="1"/>
  <c r="P15" i="3"/>
  <c r="AB15" i="3" s="1"/>
  <c r="Q15" i="3"/>
  <c r="R15" i="3"/>
  <c r="S15" i="3"/>
  <c r="T15" i="3"/>
  <c r="AF15" i="3" s="1"/>
  <c r="P16" i="3"/>
  <c r="AB16" i="3" s="1"/>
  <c r="Q16" i="3"/>
  <c r="AC16" i="3" s="1"/>
  <c r="R16" i="3"/>
  <c r="AD16" i="3" s="1"/>
  <c r="S16" i="3"/>
  <c r="AE16" i="3" s="1"/>
  <c r="P17" i="3"/>
  <c r="AB17" i="3" s="1"/>
  <c r="Q17" i="3"/>
  <c r="AC17" i="3" s="1"/>
  <c r="R17" i="3"/>
  <c r="AD17" i="3" s="1"/>
  <c r="S17" i="3"/>
  <c r="AE17" i="3" s="1"/>
  <c r="P18" i="3"/>
  <c r="Q18" i="3"/>
  <c r="R18" i="3"/>
  <c r="AD18" i="3" s="1"/>
  <c r="S18" i="3"/>
  <c r="P19" i="3"/>
  <c r="AB19" i="3" s="1"/>
  <c r="Q19" i="3"/>
  <c r="R19" i="3"/>
  <c r="S19" i="3"/>
  <c r="P20" i="3"/>
  <c r="AB20" i="3" s="1"/>
  <c r="Q20" i="3"/>
  <c r="AC20" i="3" s="1"/>
  <c r="R20" i="3"/>
  <c r="AD20" i="3" s="1"/>
  <c r="P21" i="3"/>
  <c r="AB21" i="3" s="1"/>
  <c r="Q21" i="3"/>
  <c r="AC21" i="3" s="1"/>
  <c r="R21" i="3"/>
  <c r="AD21" i="3" s="1"/>
  <c r="P22" i="3"/>
  <c r="Q22" i="3"/>
  <c r="R22" i="3"/>
  <c r="AD22" i="3" s="1"/>
  <c r="O22" i="3"/>
  <c r="AA22" i="3" s="1"/>
  <c r="O21" i="3"/>
  <c r="AA21" i="3" s="1"/>
  <c r="O20" i="3"/>
  <c r="AA20" i="3" s="1"/>
  <c r="O19" i="3"/>
  <c r="AA19" i="3" s="1"/>
  <c r="O18" i="3"/>
  <c r="AA18" i="3" s="1"/>
  <c r="O17" i="3"/>
  <c r="AA17" i="3" s="1"/>
  <c r="O16" i="3"/>
  <c r="O15" i="3"/>
  <c r="AA15" i="3" s="1"/>
  <c r="O14" i="3"/>
  <c r="AA14" i="3" s="1"/>
  <c r="O13" i="3"/>
  <c r="AA13" i="3" s="1"/>
  <c r="O12" i="3"/>
  <c r="AA12" i="3" s="1"/>
  <c r="O11" i="3"/>
  <c r="AA11" i="3" s="1"/>
  <c r="P2" i="3"/>
  <c r="Q2" i="3"/>
  <c r="AC2" i="3" s="1"/>
  <c r="R2" i="3"/>
  <c r="AD2" i="3" s="1"/>
  <c r="S2" i="3"/>
  <c r="AE2" i="3" s="1"/>
  <c r="T2" i="3"/>
  <c r="AF2" i="3" s="1"/>
  <c r="U2" i="3"/>
  <c r="AG2" i="3" s="1"/>
  <c r="V2" i="3"/>
  <c r="AH2" i="3" s="1"/>
  <c r="W2" i="3"/>
  <c r="X2" i="3"/>
  <c r="Y2" i="3"/>
  <c r="AK2" i="3" s="1"/>
  <c r="O2" i="3"/>
  <c r="E3" i="5" l="1"/>
  <c r="D3" i="5"/>
  <c r="C111" i="1"/>
  <c r="C98" i="1"/>
  <c r="C95" i="1"/>
  <c r="C9" i="1" l="1"/>
  <c r="F17" i="5" l="1"/>
  <c r="F14" i="5"/>
  <c r="F9" i="5"/>
  <c r="G8" i="5"/>
  <c r="H8" i="5" s="1"/>
  <c r="H17" i="5" s="1"/>
  <c r="F5" i="5"/>
  <c r="F4" i="5"/>
  <c r="G3" i="5"/>
  <c r="G5" i="5" s="1"/>
  <c r="G17" i="5" l="1"/>
  <c r="G20" i="5"/>
  <c r="G14" i="5"/>
  <c r="G4" i="5"/>
  <c r="F20" i="5"/>
  <c r="H3" i="5"/>
  <c r="G9" i="5"/>
  <c r="B26" i="22"/>
  <c r="B37" i="22"/>
  <c r="A37" i="22"/>
  <c r="B36" i="22"/>
  <c r="A36" i="22"/>
  <c r="C3" i="22"/>
  <c r="B7" i="22"/>
  <c r="B6" i="22"/>
  <c r="B5" i="22"/>
  <c r="B8" i="22"/>
  <c r="B25" i="22" l="1"/>
  <c r="H5" i="5"/>
  <c r="H4" i="5"/>
  <c r="H14" i="5"/>
  <c r="H9" i="5"/>
  <c r="B30" i="22"/>
  <c r="B27" i="22"/>
  <c r="C12" i="1"/>
  <c r="I12" i="3"/>
  <c r="U12" i="3" s="1"/>
  <c r="AG12" i="3" s="1"/>
  <c r="I13" i="3"/>
  <c r="U13" i="3" s="1"/>
  <c r="AG13" i="3" s="1"/>
  <c r="I14" i="3"/>
  <c r="U14" i="3" s="1"/>
  <c r="AG14" i="3" s="1"/>
  <c r="I15" i="3"/>
  <c r="U15" i="3" s="1"/>
  <c r="AG15" i="3" s="1"/>
  <c r="I16" i="3"/>
  <c r="U16" i="3" s="1"/>
  <c r="AG16" i="3" s="1"/>
  <c r="I17" i="3"/>
  <c r="U17" i="3" s="1"/>
  <c r="AG17" i="3" s="1"/>
  <c r="I18" i="3"/>
  <c r="U18" i="3" s="1"/>
  <c r="AG18" i="3" s="1"/>
  <c r="I19" i="3"/>
  <c r="U19" i="3" s="1"/>
  <c r="AG19" i="3" s="1"/>
  <c r="I20" i="3"/>
  <c r="U20" i="3" s="1"/>
  <c r="AG20" i="3" s="1"/>
  <c r="I21" i="3"/>
  <c r="U21" i="3" s="1"/>
  <c r="AG21" i="3" s="1"/>
  <c r="I22" i="3"/>
  <c r="U22" i="3" s="1"/>
  <c r="AG22" i="3" s="1"/>
  <c r="H20" i="5" l="1"/>
  <c r="B29" i="22"/>
  <c r="B28" i="22"/>
  <c r="K9" i="3"/>
  <c r="W9" i="3" s="1"/>
  <c r="AI9" i="3" s="1"/>
  <c r="K10" i="3"/>
  <c r="W10" i="3" s="1"/>
  <c r="AI10" i="3" s="1"/>
  <c r="L8" i="3"/>
  <c r="X8" i="3" s="1"/>
  <c r="AJ8" i="3" s="1"/>
  <c r="L9" i="3"/>
  <c r="X9" i="3" s="1"/>
  <c r="AJ9" i="3" s="1"/>
  <c r="L10" i="3"/>
  <c r="X10" i="3" s="1"/>
  <c r="AJ10" i="3" s="1"/>
  <c r="M7" i="3"/>
  <c r="Y7" i="3" s="1"/>
  <c r="AK7" i="3" s="1"/>
  <c r="M8" i="3"/>
  <c r="Y8" i="3" s="1"/>
  <c r="AK8" i="3" s="1"/>
  <c r="M9" i="3"/>
  <c r="Y9" i="3" s="1"/>
  <c r="AK9" i="3" s="1"/>
  <c r="M10" i="3"/>
  <c r="Y10" i="3" s="1"/>
  <c r="AK10" i="3" s="1"/>
  <c r="J11" i="3"/>
  <c r="V11" i="3" s="1"/>
  <c r="AH11" i="3" s="1"/>
  <c r="K11" i="3"/>
  <c r="W11" i="3" s="1"/>
  <c r="AI11" i="3" s="1"/>
  <c r="L11" i="3"/>
  <c r="X11" i="3" s="1"/>
  <c r="AJ11" i="3" s="1"/>
  <c r="M11" i="3"/>
  <c r="Y11" i="3" s="1"/>
  <c r="AK11" i="3" s="1"/>
  <c r="J12" i="3"/>
  <c r="V12" i="3" s="1"/>
  <c r="AH12" i="3" s="1"/>
  <c r="K12" i="3"/>
  <c r="W12" i="3" s="1"/>
  <c r="AI12" i="3" s="1"/>
  <c r="L12" i="3"/>
  <c r="X12" i="3" s="1"/>
  <c r="AJ12" i="3" s="1"/>
  <c r="M12" i="3"/>
  <c r="Y12" i="3" s="1"/>
  <c r="AK12" i="3" s="1"/>
  <c r="J13" i="3"/>
  <c r="V13" i="3" s="1"/>
  <c r="AH13" i="3" s="1"/>
  <c r="K13" i="3"/>
  <c r="W13" i="3" s="1"/>
  <c r="AI13" i="3" s="1"/>
  <c r="L13" i="3"/>
  <c r="X13" i="3" s="1"/>
  <c r="AJ13" i="3" s="1"/>
  <c r="M13" i="3"/>
  <c r="Y13" i="3" s="1"/>
  <c r="AK13" i="3" s="1"/>
  <c r="J14" i="3"/>
  <c r="V14" i="3" s="1"/>
  <c r="AH14" i="3" s="1"/>
  <c r="K14" i="3"/>
  <c r="W14" i="3" s="1"/>
  <c r="AI14" i="3" s="1"/>
  <c r="L14" i="3"/>
  <c r="X14" i="3" s="1"/>
  <c r="AJ14" i="3" s="1"/>
  <c r="M14" i="3"/>
  <c r="Y14" i="3" s="1"/>
  <c r="AK14" i="3" s="1"/>
  <c r="J15" i="3"/>
  <c r="V15" i="3" s="1"/>
  <c r="AH15" i="3" s="1"/>
  <c r="K15" i="3"/>
  <c r="W15" i="3" s="1"/>
  <c r="AI15" i="3" s="1"/>
  <c r="L15" i="3"/>
  <c r="X15" i="3" s="1"/>
  <c r="AJ15" i="3" s="1"/>
  <c r="M15" i="3"/>
  <c r="Y15" i="3" s="1"/>
  <c r="AK15" i="3" s="1"/>
  <c r="H16" i="3"/>
  <c r="T16" i="3" s="1"/>
  <c r="AF16" i="3" s="1"/>
  <c r="J16" i="3"/>
  <c r="V16" i="3" s="1"/>
  <c r="AH16" i="3" s="1"/>
  <c r="K16" i="3"/>
  <c r="W16" i="3" s="1"/>
  <c r="AI16" i="3" s="1"/>
  <c r="L16" i="3"/>
  <c r="X16" i="3" s="1"/>
  <c r="AJ16" i="3" s="1"/>
  <c r="M16" i="3"/>
  <c r="Y16" i="3" s="1"/>
  <c r="AK16" i="3" s="1"/>
  <c r="H17" i="3"/>
  <c r="T17" i="3" s="1"/>
  <c r="AF17" i="3" s="1"/>
  <c r="J17" i="3"/>
  <c r="V17" i="3" s="1"/>
  <c r="AH17" i="3" s="1"/>
  <c r="K17" i="3"/>
  <c r="W17" i="3" s="1"/>
  <c r="AI17" i="3" s="1"/>
  <c r="L17" i="3"/>
  <c r="X17" i="3" s="1"/>
  <c r="AJ17" i="3" s="1"/>
  <c r="M17" i="3"/>
  <c r="Y17" i="3" s="1"/>
  <c r="AK17" i="3" s="1"/>
  <c r="H18" i="3"/>
  <c r="T18" i="3" s="1"/>
  <c r="AF18" i="3" s="1"/>
  <c r="J18" i="3"/>
  <c r="V18" i="3" s="1"/>
  <c r="AH18" i="3" s="1"/>
  <c r="K18" i="3"/>
  <c r="W18" i="3" s="1"/>
  <c r="AI18" i="3" s="1"/>
  <c r="L18" i="3"/>
  <c r="X18" i="3" s="1"/>
  <c r="AJ18" i="3" s="1"/>
  <c r="M18" i="3"/>
  <c r="Y18" i="3" s="1"/>
  <c r="AK18" i="3" s="1"/>
  <c r="H19" i="3"/>
  <c r="T19" i="3" s="1"/>
  <c r="AF19" i="3" s="1"/>
  <c r="J19" i="3"/>
  <c r="V19" i="3" s="1"/>
  <c r="AH19" i="3" s="1"/>
  <c r="K19" i="3"/>
  <c r="W19" i="3" s="1"/>
  <c r="AI19" i="3" s="1"/>
  <c r="L19" i="3"/>
  <c r="X19" i="3" s="1"/>
  <c r="AJ19" i="3" s="1"/>
  <c r="M19" i="3"/>
  <c r="Y19" i="3" s="1"/>
  <c r="AK19" i="3" s="1"/>
  <c r="G20" i="3"/>
  <c r="S20" i="3" s="1"/>
  <c r="AE20" i="3" s="1"/>
  <c r="H20" i="3"/>
  <c r="T20" i="3" s="1"/>
  <c r="AF20" i="3" s="1"/>
  <c r="J20" i="3"/>
  <c r="V20" i="3" s="1"/>
  <c r="AH20" i="3" s="1"/>
  <c r="K20" i="3"/>
  <c r="W20" i="3" s="1"/>
  <c r="AI20" i="3" s="1"/>
  <c r="L20" i="3"/>
  <c r="X20" i="3" s="1"/>
  <c r="AJ20" i="3" s="1"/>
  <c r="M20" i="3"/>
  <c r="Y20" i="3" s="1"/>
  <c r="AK20" i="3" s="1"/>
  <c r="G21" i="3"/>
  <c r="S21" i="3" s="1"/>
  <c r="AE21" i="3" s="1"/>
  <c r="H21" i="3"/>
  <c r="T21" i="3" s="1"/>
  <c r="AF21" i="3" s="1"/>
  <c r="J21" i="3"/>
  <c r="V21" i="3" s="1"/>
  <c r="AH21" i="3" s="1"/>
  <c r="K21" i="3"/>
  <c r="W21" i="3" s="1"/>
  <c r="AI21" i="3" s="1"/>
  <c r="L21" i="3"/>
  <c r="X21" i="3" s="1"/>
  <c r="AJ21" i="3" s="1"/>
  <c r="M21" i="3"/>
  <c r="Y21" i="3" s="1"/>
  <c r="AK21" i="3" s="1"/>
  <c r="H22" i="3"/>
  <c r="T22" i="3" s="1"/>
  <c r="AF22" i="3" s="1"/>
  <c r="J22" i="3"/>
  <c r="V22" i="3" s="1"/>
  <c r="AH22" i="3" s="1"/>
  <c r="K22" i="3"/>
  <c r="W22" i="3" s="1"/>
  <c r="AI22" i="3" s="1"/>
  <c r="L22" i="3"/>
  <c r="X22" i="3" s="1"/>
  <c r="AJ22" i="3" s="1"/>
  <c r="M22" i="3"/>
  <c r="Y22" i="3" s="1"/>
  <c r="AK22" i="3" s="1"/>
  <c r="G22" i="3"/>
  <c r="S22" i="3" s="1"/>
  <c r="AE22" i="3" s="1"/>
  <c r="C5" i="3"/>
  <c r="O5" i="3" s="1"/>
  <c r="AA5" i="3" s="1"/>
  <c r="C6" i="3"/>
  <c r="O6" i="3" s="1"/>
  <c r="AA6" i="3" s="1"/>
  <c r="C7" i="3"/>
  <c r="O7" i="3" s="1"/>
  <c r="AA7" i="3" s="1"/>
  <c r="C8" i="3"/>
  <c r="O8" i="3" s="1"/>
  <c r="AA8" i="3" s="1"/>
  <c r="C9" i="3"/>
  <c r="O9" i="3" s="1"/>
  <c r="AA9" i="3" s="1"/>
  <c r="C10" i="3"/>
  <c r="O10" i="3" s="1"/>
  <c r="AA10" i="3" s="1"/>
  <c r="D5" i="3"/>
  <c r="P5" i="3" s="1"/>
  <c r="AB5" i="3" s="1"/>
  <c r="D6" i="3"/>
  <c r="P6" i="3" s="1"/>
  <c r="AB6" i="3" s="1"/>
  <c r="D7" i="3"/>
  <c r="P7" i="3" s="1"/>
  <c r="AB7" i="3" s="1"/>
  <c r="D8" i="3"/>
  <c r="P8" i="3" s="1"/>
  <c r="AB8" i="3" s="1"/>
  <c r="D9" i="3"/>
  <c r="P9" i="3" s="1"/>
  <c r="AB9" i="3" s="1"/>
  <c r="D10" i="3"/>
  <c r="P10" i="3" s="1"/>
  <c r="AB10" i="3" s="1"/>
  <c r="D42" i="1" l="1"/>
  <c r="E42" i="1" s="1"/>
  <c r="F42" i="1" s="1"/>
  <c r="G42" i="1" s="1"/>
  <c r="H42" i="1" s="1"/>
  <c r="I42" i="1" s="1"/>
  <c r="J42" i="1" s="1"/>
  <c r="K42" i="1" s="1"/>
  <c r="L42" i="1" s="1"/>
  <c r="M42" i="1" s="1"/>
  <c r="N42" i="1" s="1"/>
  <c r="N3" i="5"/>
  <c r="N4" i="5" s="1"/>
  <c r="L4" i="5"/>
  <c r="M4" i="5"/>
  <c r="B4" i="5"/>
  <c r="C4" i="5"/>
  <c r="D4" i="5"/>
  <c r="J3" i="5"/>
  <c r="I4" i="5"/>
  <c r="J4" i="5" l="1"/>
  <c r="O3" i="5"/>
  <c r="O4" i="5" s="1"/>
  <c r="C85" i="1" l="1"/>
  <c r="E8" i="1" l="1"/>
  <c r="D8" i="1"/>
  <c r="C31" i="1" l="1"/>
  <c r="C5" i="5"/>
  <c r="C14" i="5" l="1"/>
  <c r="C36" i="1" s="1"/>
  <c r="I14" i="5"/>
  <c r="L14" i="5"/>
  <c r="M14" i="5"/>
  <c r="N14" i="5"/>
  <c r="O14" i="5"/>
  <c r="B14" i="5"/>
  <c r="B5" i="5"/>
  <c r="I5" i="5"/>
  <c r="L5" i="5"/>
  <c r="M5" i="5"/>
  <c r="N5" i="5"/>
  <c r="O5" i="5"/>
  <c r="J5" i="5"/>
  <c r="H8" i="1"/>
  <c r="G8" i="1"/>
  <c r="F8" i="1"/>
  <c r="I6" i="1"/>
  <c r="H6" i="1"/>
  <c r="G6" i="1"/>
  <c r="F6" i="1"/>
  <c r="C107" i="1" s="1"/>
  <c r="E6" i="1"/>
  <c r="D6" i="1"/>
  <c r="B6" i="5"/>
  <c r="C80" i="1" l="1"/>
  <c r="C106" i="1"/>
  <c r="C81" i="1"/>
  <c r="K3" i="5"/>
  <c r="J14" i="5"/>
  <c r="C38" i="1"/>
  <c r="C37" i="1"/>
  <c r="C46" i="1"/>
  <c r="C40" i="1"/>
  <c r="K4" i="5" l="1"/>
  <c r="K5" i="5"/>
  <c r="K14" i="5"/>
  <c r="C55" i="1"/>
  <c r="C59" i="1" l="1"/>
  <c r="D59" i="1" s="1"/>
  <c r="E59" i="1" s="1"/>
  <c r="F59" i="1" s="1"/>
  <c r="G59" i="1" s="1"/>
  <c r="H59" i="1" s="1"/>
  <c r="I59" i="1" s="1"/>
  <c r="J59" i="1" s="1"/>
  <c r="K59" i="1" s="1"/>
  <c r="L59" i="1" s="1"/>
  <c r="M59" i="1" s="1"/>
  <c r="N59" i="1" s="1"/>
  <c r="L9" i="5" l="1"/>
  <c r="C9" i="5" l="1"/>
  <c r="C17" i="5"/>
  <c r="I17" i="5"/>
  <c r="L17" i="5"/>
  <c r="M17" i="5"/>
  <c r="B17" i="5"/>
  <c r="B7" i="5"/>
  <c r="C6" i="5"/>
  <c r="C7" i="5" l="1"/>
  <c r="B13" i="5"/>
  <c r="B40" i="13"/>
  <c r="B3" i="13"/>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2" i="13"/>
  <c r="F1" i="13" l="1"/>
  <c r="D58" i="1"/>
  <c r="C69" i="1"/>
  <c r="C99" i="1" s="1"/>
  <c r="D22" i="1"/>
  <c r="B9" i="5"/>
  <c r="C11" i="5"/>
  <c r="D11" i="5" s="1"/>
  <c r="E11" i="5" s="1"/>
  <c r="I10" i="5"/>
  <c r="J10" i="5" s="1"/>
  <c r="K10" i="5" s="1"/>
  <c r="L10" i="5" s="1"/>
  <c r="M10" i="5" s="1"/>
  <c r="N10" i="5" s="1"/>
  <c r="O10" i="5" s="1"/>
  <c r="D6" i="5"/>
  <c r="E6" i="5" s="1"/>
  <c r="F6" i="5" s="1"/>
  <c r="D7" i="5"/>
  <c r="E7" i="5" s="1"/>
  <c r="M20" i="5"/>
  <c r="D11" i="1"/>
  <c r="D13" i="1" s="1"/>
  <c r="C13" i="1"/>
  <c r="D8" i="5"/>
  <c r="D10" i="1"/>
  <c r="G6" i="5" l="1"/>
  <c r="J11" i="5"/>
  <c r="K11" i="5" s="1"/>
  <c r="N11" i="5" s="1"/>
  <c r="O11" i="5" s="1"/>
  <c r="F11" i="5"/>
  <c r="F7" i="5"/>
  <c r="G7" i="5" s="1"/>
  <c r="H7" i="5" s="1"/>
  <c r="I7" i="5" s="1"/>
  <c r="J7" i="5" s="1"/>
  <c r="K7" i="5" s="1"/>
  <c r="L7" i="5" s="1"/>
  <c r="M7" i="5" s="1"/>
  <c r="N7" i="5" s="1"/>
  <c r="O7" i="5" s="1"/>
  <c r="D46" i="1"/>
  <c r="C49" i="1"/>
  <c r="C51" i="1" s="1"/>
  <c r="C47" i="1"/>
  <c r="C48" i="1" s="1"/>
  <c r="C43" i="1"/>
  <c r="C44" i="1" s="1"/>
  <c r="C104" i="1" s="1"/>
  <c r="C14" i="1"/>
  <c r="E22" i="1"/>
  <c r="D17" i="5"/>
  <c r="E10" i="1"/>
  <c r="I20" i="5"/>
  <c r="L20" i="5"/>
  <c r="E8" i="5"/>
  <c r="C79" i="1" s="1"/>
  <c r="E58" i="1"/>
  <c r="D55" i="1"/>
  <c r="B20" i="5"/>
  <c r="D12" i="1"/>
  <c r="L18" i="5"/>
  <c r="K18" i="5"/>
  <c r="J18" i="5"/>
  <c r="I18" i="5"/>
  <c r="M9" i="5"/>
  <c r="I9" i="5"/>
  <c r="C20" i="5"/>
  <c r="B18" i="5"/>
  <c r="O18" i="5"/>
  <c r="O19" i="5" s="1"/>
  <c r="M18" i="5"/>
  <c r="N18" i="5"/>
  <c r="E11" i="1"/>
  <c r="B16" i="5"/>
  <c r="C65" i="1" l="1"/>
  <c r="L19" i="5"/>
  <c r="G11" i="5"/>
  <c r="F18" i="5"/>
  <c r="F13" i="5"/>
  <c r="F16" i="5" s="1"/>
  <c r="N19" i="5"/>
  <c r="H6" i="5"/>
  <c r="G13" i="5"/>
  <c r="G16" i="5" s="1"/>
  <c r="M19" i="5"/>
  <c r="J19" i="5"/>
  <c r="I19" i="5"/>
  <c r="K19" i="5"/>
  <c r="C18" i="1"/>
  <c r="E46" i="1"/>
  <c r="D9" i="5"/>
  <c r="D14" i="5"/>
  <c r="D5" i="5"/>
  <c r="D20" i="5" s="1"/>
  <c r="C50" i="1"/>
  <c r="C52" i="1" s="1"/>
  <c r="C53" i="1" s="1"/>
  <c r="E12" i="1"/>
  <c r="D47" i="1"/>
  <c r="D48" i="1" s="1"/>
  <c r="D49" i="1"/>
  <c r="D51" i="1" s="1"/>
  <c r="C15" i="1"/>
  <c r="C16" i="1" s="1"/>
  <c r="D14" i="1"/>
  <c r="D43" i="1"/>
  <c r="D44" i="1" s="1"/>
  <c r="F22" i="1"/>
  <c r="F10" i="1"/>
  <c r="J8" i="5"/>
  <c r="E17" i="5"/>
  <c r="E55" i="1"/>
  <c r="F58" i="1"/>
  <c r="F11" i="1"/>
  <c r="F12" i="1" s="1"/>
  <c r="E4" i="5"/>
  <c r="M13" i="5"/>
  <c r="M16" i="5" s="1"/>
  <c r="N13" i="5"/>
  <c r="N16" i="5" s="1"/>
  <c r="C13" i="5"/>
  <c r="C18" i="5"/>
  <c r="E13" i="1"/>
  <c r="J9" i="5" l="1"/>
  <c r="H13" i="5"/>
  <c r="H16" i="5" s="1"/>
  <c r="I6" i="5"/>
  <c r="C78" i="1"/>
  <c r="C45" i="1"/>
  <c r="C56" i="1" s="1"/>
  <c r="H11" i="5"/>
  <c r="H18" i="5" s="1"/>
  <c r="H19" i="5" s="1"/>
  <c r="G18" i="5"/>
  <c r="F46" i="1"/>
  <c r="E5" i="5"/>
  <c r="E14" i="5"/>
  <c r="D18" i="1"/>
  <c r="D45" i="1" s="1"/>
  <c r="D56" i="1" s="1"/>
  <c r="D15" i="1"/>
  <c r="C17" i="1"/>
  <c r="C19" i="1" s="1"/>
  <c r="E43" i="1"/>
  <c r="E44" i="1" s="1"/>
  <c r="D50" i="1"/>
  <c r="D52" i="1" s="1"/>
  <c r="D53" i="1" s="1"/>
  <c r="E49" i="1"/>
  <c r="E51" i="1" s="1"/>
  <c r="E47" i="1"/>
  <c r="E48" i="1" s="1"/>
  <c r="G10" i="1"/>
  <c r="F55" i="1"/>
  <c r="G22" i="1"/>
  <c r="K8" i="5"/>
  <c r="K9" i="5" s="1"/>
  <c r="J17" i="5"/>
  <c r="J20" i="5"/>
  <c r="F13" i="1"/>
  <c r="F43" i="1" s="1"/>
  <c r="F44" i="1" s="1"/>
  <c r="C16" i="5"/>
  <c r="G58" i="1"/>
  <c r="G11" i="1"/>
  <c r="E14" i="1"/>
  <c r="D13" i="5"/>
  <c r="D16" i="5" s="1"/>
  <c r="D18" i="5"/>
  <c r="E9" i="5"/>
  <c r="J6" i="5" l="1"/>
  <c r="I13" i="5"/>
  <c r="G19" i="5"/>
  <c r="F19" i="5"/>
  <c r="G46" i="1"/>
  <c r="D16" i="1"/>
  <c r="D17" i="1" s="1"/>
  <c r="D19" i="1" s="1"/>
  <c r="E18" i="1"/>
  <c r="E45" i="1" s="1"/>
  <c r="E56" i="1" s="1"/>
  <c r="E15" i="1"/>
  <c r="G55" i="1"/>
  <c r="F14" i="1"/>
  <c r="F49" i="1"/>
  <c r="F51" i="1" s="1"/>
  <c r="F47" i="1"/>
  <c r="F48" i="1" s="1"/>
  <c r="E50" i="1"/>
  <c r="E52" i="1" s="1"/>
  <c r="E53" i="1" s="1"/>
  <c r="H10" i="1"/>
  <c r="G12" i="1"/>
  <c r="H22" i="1"/>
  <c r="N8" i="5"/>
  <c r="K17" i="5"/>
  <c r="K20" i="5"/>
  <c r="E20" i="5"/>
  <c r="E18" i="5"/>
  <c r="H58" i="1"/>
  <c r="H11" i="1"/>
  <c r="G13" i="1"/>
  <c r="E13" i="5"/>
  <c r="C77" i="1" s="1"/>
  <c r="I16" i="5" l="1"/>
  <c r="N20" i="5"/>
  <c r="N9" i="5"/>
  <c r="K6" i="5"/>
  <c r="J13" i="5"/>
  <c r="J16" i="5" s="1"/>
  <c r="B19" i="5"/>
  <c r="C19" i="5"/>
  <c r="D19" i="5"/>
  <c r="E19" i="5"/>
  <c r="H46" i="1"/>
  <c r="E16" i="1"/>
  <c r="E17" i="1" s="1"/>
  <c r="E19" i="1" s="1"/>
  <c r="F18" i="1"/>
  <c r="F45" i="1" s="1"/>
  <c r="F56" i="1" s="1"/>
  <c r="F15" i="1"/>
  <c r="H12" i="1"/>
  <c r="H55" i="1"/>
  <c r="I10" i="1"/>
  <c r="F50" i="1"/>
  <c r="F52" i="1" s="1"/>
  <c r="F53" i="1" s="1"/>
  <c r="G47" i="1"/>
  <c r="G48" i="1" s="1"/>
  <c r="G49" i="1"/>
  <c r="G51" i="1" s="1"/>
  <c r="G43" i="1"/>
  <c r="G44" i="1" s="1"/>
  <c r="O8" i="5"/>
  <c r="O20" i="5" s="1"/>
  <c r="N17" i="5"/>
  <c r="I22" i="1"/>
  <c r="I23" i="1" s="1"/>
  <c r="I58" i="1"/>
  <c r="G14" i="1"/>
  <c r="H13" i="1"/>
  <c r="I11" i="1"/>
  <c r="E16" i="5"/>
  <c r="E23" i="1" l="1"/>
  <c r="C91" i="1"/>
  <c r="C97" i="1" s="1"/>
  <c r="C57" i="1"/>
  <c r="C73" i="1" s="1"/>
  <c r="C105" i="1"/>
  <c r="G23" i="1"/>
  <c r="C71" i="1"/>
  <c r="C23" i="1"/>
  <c r="L6" i="5"/>
  <c r="K13" i="5"/>
  <c r="K16" i="5" s="1"/>
  <c r="H23" i="1"/>
  <c r="F23" i="1"/>
  <c r="D23" i="1"/>
  <c r="I46" i="1"/>
  <c r="C72" i="1"/>
  <c r="I55" i="1"/>
  <c r="J10" i="1"/>
  <c r="F16" i="1"/>
  <c r="F17" i="1" s="1"/>
  <c r="F19" i="1" s="1"/>
  <c r="G50" i="1"/>
  <c r="G52" i="1" s="1"/>
  <c r="G53" i="1" s="1"/>
  <c r="G15" i="1"/>
  <c r="I12" i="1"/>
  <c r="H43" i="1"/>
  <c r="H44" i="1" s="1"/>
  <c r="G18" i="1"/>
  <c r="G45" i="1" s="1"/>
  <c r="G56" i="1" s="1"/>
  <c r="H49" i="1"/>
  <c r="H51" i="1" s="1"/>
  <c r="H47" i="1"/>
  <c r="H48" i="1" s="1"/>
  <c r="O9" i="5"/>
  <c r="O17" i="5"/>
  <c r="I24" i="1" s="1"/>
  <c r="I25" i="1" s="1"/>
  <c r="J22" i="1"/>
  <c r="J23" i="1" s="1"/>
  <c r="J58" i="1"/>
  <c r="H14" i="1"/>
  <c r="J11" i="1"/>
  <c r="I13" i="1"/>
  <c r="B31" i="22" l="1"/>
  <c r="C60" i="1"/>
  <c r="D57" i="1"/>
  <c r="E57" i="1" s="1"/>
  <c r="F24" i="1"/>
  <c r="F25" i="1" s="1"/>
  <c r="M6" i="5"/>
  <c r="N6" i="5" s="1"/>
  <c r="O6" i="5" s="1"/>
  <c r="O13" i="5" s="1"/>
  <c r="O16" i="5" s="1"/>
  <c r="L13" i="5"/>
  <c r="C82" i="1" s="1"/>
  <c r="H24" i="1"/>
  <c r="H25" i="1" s="1"/>
  <c r="G24" i="1"/>
  <c r="G25" i="1" s="1"/>
  <c r="E24" i="1"/>
  <c r="E25" i="1" s="1"/>
  <c r="D24" i="1"/>
  <c r="D25" i="1" s="1"/>
  <c r="B11" i="22"/>
  <c r="C24" i="1"/>
  <c r="J46" i="1"/>
  <c r="J24" i="1"/>
  <c r="J25" i="1" s="1"/>
  <c r="J12" i="1"/>
  <c r="J55" i="1"/>
  <c r="K10" i="1"/>
  <c r="G16" i="1"/>
  <c r="G17" i="1" s="1"/>
  <c r="G19" i="1" s="1"/>
  <c r="H50" i="1"/>
  <c r="H52" i="1" s="1"/>
  <c r="H53" i="1" s="1"/>
  <c r="H15" i="1"/>
  <c r="I43" i="1"/>
  <c r="I44" i="1" s="1"/>
  <c r="H18" i="1"/>
  <c r="H45" i="1" s="1"/>
  <c r="H56" i="1" s="1"/>
  <c r="C61" i="1"/>
  <c r="C63" i="1"/>
  <c r="C62" i="1"/>
  <c r="D60" i="1"/>
  <c r="I49" i="1"/>
  <c r="I51" i="1" s="1"/>
  <c r="I47" i="1"/>
  <c r="I48" i="1" s="1"/>
  <c r="K22" i="1"/>
  <c r="K23" i="1" s="1"/>
  <c r="K58" i="1"/>
  <c r="I14" i="1"/>
  <c r="I27" i="1" s="1"/>
  <c r="K11" i="1"/>
  <c r="J13" i="1"/>
  <c r="L10" i="1"/>
  <c r="C103" i="1" l="1"/>
  <c r="C108" i="1" s="1"/>
  <c r="C114" i="1" s="1"/>
  <c r="C89" i="1"/>
  <c r="C88" i="1"/>
  <c r="E88" i="1"/>
  <c r="E89" i="1"/>
  <c r="F88" i="1"/>
  <c r="F89" i="1"/>
  <c r="D89" i="1"/>
  <c r="D88" i="1"/>
  <c r="L16" i="5"/>
  <c r="D20" i="1" s="1"/>
  <c r="C25" i="1"/>
  <c r="C26" i="1"/>
  <c r="C27" i="1"/>
  <c r="K46" i="1"/>
  <c r="K24" i="1"/>
  <c r="K25" i="1" s="1"/>
  <c r="K12" i="1"/>
  <c r="F26" i="1"/>
  <c r="F27" i="1"/>
  <c r="H26" i="1"/>
  <c r="H27" i="1"/>
  <c r="D26" i="1"/>
  <c r="D27" i="1"/>
  <c r="E26" i="1"/>
  <c r="E27" i="1"/>
  <c r="G26" i="1"/>
  <c r="G27" i="1"/>
  <c r="I26" i="1"/>
  <c r="K55" i="1"/>
  <c r="H16" i="1"/>
  <c r="H17" i="1" s="1"/>
  <c r="I18" i="1"/>
  <c r="I45" i="1" s="1"/>
  <c r="I56" i="1" s="1"/>
  <c r="I15" i="1"/>
  <c r="J43" i="1"/>
  <c r="J44" i="1" s="1"/>
  <c r="L46" i="1"/>
  <c r="D61" i="1"/>
  <c r="D62" i="1"/>
  <c r="D63" i="1"/>
  <c r="F57" i="1"/>
  <c r="E60" i="1"/>
  <c r="I50" i="1"/>
  <c r="I52" i="1" s="1"/>
  <c r="I53" i="1" s="1"/>
  <c r="J49" i="1"/>
  <c r="J51" i="1" s="1"/>
  <c r="J47" i="1"/>
  <c r="J48" i="1" s="1"/>
  <c r="L22" i="1"/>
  <c r="L23" i="1" s="1"/>
  <c r="L58" i="1"/>
  <c r="L55" i="1"/>
  <c r="L11" i="1"/>
  <c r="L12" i="1" s="1"/>
  <c r="K13" i="1"/>
  <c r="J14" i="1"/>
  <c r="J26" i="1" s="1"/>
  <c r="M10" i="1"/>
  <c r="C115" i="1" l="1"/>
  <c r="F115" i="1"/>
  <c r="E115" i="1"/>
  <c r="D115" i="1"/>
  <c r="F114" i="1"/>
  <c r="E114" i="1"/>
  <c r="D114" i="1"/>
  <c r="C20" i="1"/>
  <c r="C28" i="1" s="1"/>
  <c r="C29" i="1" s="1"/>
  <c r="J20" i="1"/>
  <c r="J28" i="1" s="1"/>
  <c r="K20" i="1"/>
  <c r="K28" i="1" s="1"/>
  <c r="I20" i="1"/>
  <c r="I28" i="1" s="1"/>
  <c r="G20" i="1"/>
  <c r="G28" i="1" s="1"/>
  <c r="G29" i="1" s="1"/>
  <c r="E20" i="1"/>
  <c r="E21" i="1" s="1"/>
  <c r="F20" i="1"/>
  <c r="F21" i="1" s="1"/>
  <c r="L20" i="1"/>
  <c r="L28" i="1" s="1"/>
  <c r="H20" i="1"/>
  <c r="H28" i="1" s="1"/>
  <c r="D28" i="1"/>
  <c r="D29" i="1" s="1"/>
  <c r="D21" i="1"/>
  <c r="L24" i="1"/>
  <c r="L25" i="1" s="1"/>
  <c r="J27" i="1"/>
  <c r="I16" i="1"/>
  <c r="I17" i="1" s="1"/>
  <c r="J18" i="1"/>
  <c r="J45" i="1" s="1"/>
  <c r="J56" i="1" s="1"/>
  <c r="J15" i="1"/>
  <c r="K43" i="1"/>
  <c r="K44" i="1" s="1"/>
  <c r="M46" i="1"/>
  <c r="M20" i="1"/>
  <c r="E61" i="1"/>
  <c r="E63" i="1"/>
  <c r="E62" i="1"/>
  <c r="G57" i="1"/>
  <c r="F60" i="1"/>
  <c r="J50" i="1"/>
  <c r="J52" i="1" s="1"/>
  <c r="J53" i="1" s="1"/>
  <c r="K49" i="1"/>
  <c r="K51" i="1" s="1"/>
  <c r="K47" i="1"/>
  <c r="K48" i="1" s="1"/>
  <c r="H19" i="1"/>
  <c r="M22" i="1"/>
  <c r="M23" i="1" s="1"/>
  <c r="M58" i="1"/>
  <c r="M55" i="1"/>
  <c r="L13" i="1"/>
  <c r="M11" i="1"/>
  <c r="M12" i="1" s="1"/>
  <c r="K14" i="1"/>
  <c r="K26" i="1" s="1"/>
  <c r="N10" i="1"/>
  <c r="E28" i="1" l="1"/>
  <c r="E29" i="1" s="1"/>
  <c r="C21" i="1"/>
  <c r="F28" i="1"/>
  <c r="F29" i="1" s="1"/>
  <c r="G21" i="1"/>
  <c r="M24" i="1"/>
  <c r="M25" i="1" s="1"/>
  <c r="K27" i="1"/>
  <c r="J16" i="1"/>
  <c r="J17" i="1" s="1"/>
  <c r="K18" i="1"/>
  <c r="K45" i="1" s="1"/>
  <c r="K56" i="1" s="1"/>
  <c r="K15" i="1"/>
  <c r="H21" i="1"/>
  <c r="H29" i="1"/>
  <c r="M28" i="1"/>
  <c r="L43" i="1"/>
  <c r="L44" i="1" s="1"/>
  <c r="N46" i="1"/>
  <c r="N20" i="1"/>
  <c r="F63" i="1"/>
  <c r="F62" i="1"/>
  <c r="F61" i="1"/>
  <c r="H57" i="1"/>
  <c r="G60" i="1"/>
  <c r="L49" i="1"/>
  <c r="L51" i="1" s="1"/>
  <c r="K50" i="1"/>
  <c r="K52" i="1" s="1"/>
  <c r="K53" i="1" s="1"/>
  <c r="L47" i="1"/>
  <c r="L48" i="1" s="1"/>
  <c r="I19" i="1"/>
  <c r="N22" i="1"/>
  <c r="N23" i="1" s="1"/>
  <c r="N58" i="1"/>
  <c r="N55" i="1"/>
  <c r="M13" i="1"/>
  <c r="N11" i="1"/>
  <c r="N12" i="1" s="1"/>
  <c r="L14" i="1"/>
  <c r="L26" i="1" s="1"/>
  <c r="N24" i="1" l="1"/>
  <c r="N25" i="1" s="1"/>
  <c r="L27" i="1"/>
  <c r="K16" i="1"/>
  <c r="K17" i="1" s="1"/>
  <c r="N28" i="1"/>
  <c r="L18" i="1"/>
  <c r="L45" i="1" s="1"/>
  <c r="L56" i="1" s="1"/>
  <c r="L15" i="1"/>
  <c r="I21" i="1"/>
  <c r="I29" i="1"/>
  <c r="M43" i="1"/>
  <c r="M44" i="1" s="1"/>
  <c r="G63" i="1"/>
  <c r="G61" i="1"/>
  <c r="G62" i="1"/>
  <c r="I57" i="1"/>
  <c r="H60" i="1"/>
  <c r="L50" i="1"/>
  <c r="L52" i="1" s="1"/>
  <c r="L53" i="1" s="1"/>
  <c r="M49" i="1"/>
  <c r="M51" i="1" s="1"/>
  <c r="M47" i="1"/>
  <c r="M48" i="1" s="1"/>
  <c r="J19" i="1"/>
  <c r="M14" i="1"/>
  <c r="M26" i="1" s="1"/>
  <c r="N13" i="1"/>
  <c r="M27" i="1" l="1"/>
  <c r="L16" i="1"/>
  <c r="L17" i="1" s="1"/>
  <c r="M18" i="1"/>
  <c r="M45" i="1" s="1"/>
  <c r="M56" i="1" s="1"/>
  <c r="M15" i="1"/>
  <c r="J21" i="1"/>
  <c r="J29" i="1"/>
  <c r="N43" i="1"/>
  <c r="N44" i="1" s="1"/>
  <c r="J57" i="1"/>
  <c r="I60" i="1"/>
  <c r="H61" i="1"/>
  <c r="H63" i="1"/>
  <c r="H62" i="1"/>
  <c r="M50" i="1"/>
  <c r="M52" i="1" s="1"/>
  <c r="M53" i="1" s="1"/>
  <c r="N49" i="1"/>
  <c r="N51" i="1" s="1"/>
  <c r="N47" i="1"/>
  <c r="N48" i="1" s="1"/>
  <c r="K19" i="1"/>
  <c r="N14" i="1"/>
  <c r="N26" i="1" s="1"/>
  <c r="N27" i="1" l="1"/>
  <c r="M16" i="1"/>
  <c r="M17" i="1" s="1"/>
  <c r="M19" i="1" s="1"/>
  <c r="N18" i="1"/>
  <c r="N45" i="1" s="1"/>
  <c r="N56" i="1" s="1"/>
  <c r="N15" i="1"/>
  <c r="K21" i="1"/>
  <c r="K29" i="1"/>
  <c r="I61" i="1"/>
  <c r="I63" i="1"/>
  <c r="I62" i="1"/>
  <c r="K57" i="1"/>
  <c r="J60" i="1"/>
  <c r="N50" i="1"/>
  <c r="N52" i="1" s="1"/>
  <c r="N53" i="1" s="1"/>
  <c r="L19" i="1"/>
  <c r="N16" i="1" l="1"/>
  <c r="N17" i="1" s="1"/>
  <c r="M21" i="1"/>
  <c r="M29" i="1"/>
  <c r="L21" i="1"/>
  <c r="L29" i="1"/>
  <c r="L57" i="1"/>
  <c r="K60" i="1"/>
  <c r="J62" i="1"/>
  <c r="J61" i="1"/>
  <c r="J63" i="1"/>
  <c r="K62" i="1" l="1"/>
  <c r="K61" i="1"/>
  <c r="K63" i="1"/>
  <c r="M57" i="1"/>
  <c r="L60" i="1"/>
  <c r="N19" i="1"/>
  <c r="N21" i="1" l="1"/>
  <c r="N29" i="1"/>
  <c r="N57" i="1"/>
  <c r="N60" i="1" s="1"/>
  <c r="M60" i="1"/>
  <c r="L61" i="1"/>
  <c r="L63" i="1"/>
  <c r="L62" i="1"/>
  <c r="M61" i="1" l="1"/>
  <c r="M62" i="1"/>
  <c r="M63" i="1"/>
  <c r="N61" i="1"/>
  <c r="N63" i="1"/>
  <c r="N62" i="1"/>
</calcChain>
</file>

<file path=xl/sharedStrings.xml><?xml version="1.0" encoding="utf-8"?>
<sst xmlns="http://schemas.openxmlformats.org/spreadsheetml/2006/main" count="2965" uniqueCount="1293">
  <si>
    <t>Class Chart for Douglas Fir and Yellow Southern Pine Poles</t>
  </si>
  <si>
    <t>Class</t>
  </si>
  <si>
    <t>Pole Height</t>
  </si>
  <si>
    <t>Minimum Circumference at top (in)</t>
  </si>
  <si>
    <t>Pole Class</t>
  </si>
  <si>
    <t>Wind</t>
  </si>
  <si>
    <t>Overload Factor</t>
  </si>
  <si>
    <t>Maximum Fiber Stress</t>
  </si>
  <si>
    <t>Diameter</t>
  </si>
  <si>
    <t>Static</t>
  </si>
  <si>
    <t>Code Word</t>
  </si>
  <si>
    <t>Size (AWG or kcmil)</t>
  </si>
  <si>
    <t xml:space="preserve"> Stranding (Al/Stl)</t>
  </si>
  <si>
    <t xml:space="preserve">Diameter (ins.) </t>
  </si>
  <si>
    <t>Rated Strength (lbs.)</t>
  </si>
  <si>
    <t>Resistance</t>
  </si>
  <si>
    <t xml:space="preserve">Individual Wires </t>
  </si>
  <si>
    <t xml:space="preserve">Weight Per 1000 ft. (lbs.) </t>
  </si>
  <si>
    <t xml:space="preserve">Content (%) </t>
  </si>
  <si>
    <t>OHMS/1000 ft.</t>
  </si>
  <si>
    <t xml:space="preserve">Al </t>
  </si>
  <si>
    <t>Stl</t>
  </si>
  <si>
    <t>Core Steel</t>
  </si>
  <si>
    <t>Cable Complete</t>
  </si>
  <si>
    <t>Al</t>
  </si>
  <si>
    <t>Total</t>
  </si>
  <si>
    <t>DC @ 20°C</t>
  </si>
  <si>
    <t>AC @ 75°C</t>
  </si>
  <si>
    <t>Turkey</t>
  </si>
  <si>
    <t>6/1</t>
  </si>
  <si>
    <t>ACSR</t>
  </si>
  <si>
    <t>Swan</t>
  </si>
  <si>
    <t>Swanate</t>
  </si>
  <si>
    <t>7/1</t>
  </si>
  <si>
    <t>Sparrow</t>
  </si>
  <si>
    <t>Sparate</t>
  </si>
  <si>
    <t>Robin</t>
  </si>
  <si>
    <t>Raven</t>
  </si>
  <si>
    <t>1/0</t>
  </si>
  <si>
    <t>Quail</t>
  </si>
  <si>
    <t>2/0</t>
  </si>
  <si>
    <t>Pigeon</t>
  </si>
  <si>
    <t>3/0</t>
  </si>
  <si>
    <t>Penguin</t>
  </si>
  <si>
    <t>4/0</t>
  </si>
  <si>
    <t>Waxwing</t>
  </si>
  <si>
    <t>18/1</t>
  </si>
  <si>
    <t>Partridge</t>
  </si>
  <si>
    <t>26/7</t>
  </si>
  <si>
    <t>Ostrich</t>
  </si>
  <si>
    <t>Merlin</t>
  </si>
  <si>
    <t>Linnet</t>
  </si>
  <si>
    <t>Oriole</t>
  </si>
  <si>
    <t>30/7</t>
  </si>
  <si>
    <t>Chickadee</t>
  </si>
  <si>
    <t>Brant</t>
  </si>
  <si>
    <t>24/7</t>
  </si>
  <si>
    <t>Ibis</t>
  </si>
  <si>
    <t>Lark</t>
  </si>
  <si>
    <t>Pelican</t>
  </si>
  <si>
    <t>Flicker</t>
  </si>
  <si>
    <t>Hawk</t>
  </si>
  <si>
    <t>Hen</t>
  </si>
  <si>
    <t>Osprey</t>
  </si>
  <si>
    <t>Parakeet</t>
  </si>
  <si>
    <t>Dove</t>
  </si>
  <si>
    <t>Eagle</t>
  </si>
  <si>
    <t>Peacock</t>
  </si>
  <si>
    <t>Squab</t>
  </si>
  <si>
    <t>WoodDuck</t>
  </si>
  <si>
    <t>Teal</t>
  </si>
  <si>
    <t>30/19</t>
  </si>
  <si>
    <t>Kingbird</t>
  </si>
  <si>
    <t>Swift</t>
  </si>
  <si>
    <t>36/1</t>
  </si>
  <si>
    <t>Rook</t>
  </si>
  <si>
    <t>Grosbeak</t>
  </si>
  <si>
    <t>Scoter</t>
  </si>
  <si>
    <t>Egret</t>
  </si>
  <si>
    <t>Flamingo</t>
  </si>
  <si>
    <t>Gannet</t>
  </si>
  <si>
    <t>Stilt</t>
  </si>
  <si>
    <t>Starling</t>
  </si>
  <si>
    <t>Redwing</t>
  </si>
  <si>
    <t>Coot</t>
  </si>
  <si>
    <t>Drake</t>
  </si>
  <si>
    <t>Tern</t>
  </si>
  <si>
    <t>45/7</t>
  </si>
  <si>
    <t>Condor</t>
  </si>
  <si>
    <t>54/7</t>
  </si>
  <si>
    <t>Mallard</t>
  </si>
  <si>
    <t>Ruddy</t>
  </si>
  <si>
    <t>Canary</t>
  </si>
  <si>
    <t>Rail</t>
  </si>
  <si>
    <t>Cardinal</t>
  </si>
  <si>
    <t>Ortolan</t>
  </si>
  <si>
    <t>Curlew</t>
  </si>
  <si>
    <t>Bluejay</t>
  </si>
  <si>
    <t>Finch</t>
  </si>
  <si>
    <t>54/19</t>
  </si>
  <si>
    <t>Bunting</t>
  </si>
  <si>
    <t>Grackle</t>
  </si>
  <si>
    <t>Bittern</t>
  </si>
  <si>
    <t>Pheasant</t>
  </si>
  <si>
    <t>Dipper</t>
  </si>
  <si>
    <t>Martin</t>
  </si>
  <si>
    <t>Bobolink</t>
  </si>
  <si>
    <t>Lapwing</t>
  </si>
  <si>
    <t>Falcon</t>
  </si>
  <si>
    <t>Chukar</t>
  </si>
  <si>
    <t>84/19</t>
  </si>
  <si>
    <t>Bluebird</t>
  </si>
  <si>
    <t>Kiwi</t>
  </si>
  <si>
    <t>72/7</t>
  </si>
  <si>
    <t>Peachbell</t>
  </si>
  <si>
    <t>AAC</t>
  </si>
  <si>
    <t>A</t>
  </si>
  <si>
    <t>Rose</t>
  </si>
  <si>
    <t>Iris</t>
  </si>
  <si>
    <t>AA, A</t>
  </si>
  <si>
    <t>Pansy</t>
  </si>
  <si>
    <t>Poppy</t>
  </si>
  <si>
    <t>Aster</t>
  </si>
  <si>
    <t>Phlox</t>
  </si>
  <si>
    <t>Oxlip</t>
  </si>
  <si>
    <t>Sneezewort</t>
  </si>
  <si>
    <t>AA</t>
  </si>
  <si>
    <t>Valerian</t>
  </si>
  <si>
    <t>Daisy</t>
  </si>
  <si>
    <t>Laurel</t>
  </si>
  <si>
    <t>Peony</t>
  </si>
  <si>
    <t>Tulip</t>
  </si>
  <si>
    <t>Daffodil</t>
  </si>
  <si>
    <t>Canna</t>
  </si>
  <si>
    <t>Goldentuft</t>
  </si>
  <si>
    <t>Cosmos</t>
  </si>
  <si>
    <t>Syringa</t>
  </si>
  <si>
    <t>Zinnia</t>
  </si>
  <si>
    <t>Hyacinth</t>
  </si>
  <si>
    <t>Dahlia</t>
  </si>
  <si>
    <t>Mistletoe</t>
  </si>
  <si>
    <t>Meadowsweet</t>
  </si>
  <si>
    <t>Orchid</t>
  </si>
  <si>
    <t>Heuchera</t>
  </si>
  <si>
    <t>Verbena</t>
  </si>
  <si>
    <t>Flag</t>
  </si>
  <si>
    <t>Violet</t>
  </si>
  <si>
    <t>Nasturtium</t>
  </si>
  <si>
    <t>Petunia</t>
  </si>
  <si>
    <t>Cattail</t>
  </si>
  <si>
    <t>Arbutus</t>
  </si>
  <si>
    <t>Lilac</t>
  </si>
  <si>
    <t>Cockscomb</t>
  </si>
  <si>
    <t>Snapdragon</t>
  </si>
  <si>
    <t>Magnolia</t>
  </si>
  <si>
    <t>Goldenrod</t>
  </si>
  <si>
    <t>Hawkweed</t>
  </si>
  <si>
    <t>Camellia</t>
  </si>
  <si>
    <t>Bluebell</t>
  </si>
  <si>
    <t>Larkspur</t>
  </si>
  <si>
    <t>Marigold</t>
  </si>
  <si>
    <t>Hawthorn</t>
  </si>
  <si>
    <t>Narcissus</t>
  </si>
  <si>
    <t>Columbine</t>
  </si>
  <si>
    <t>Carnation</t>
  </si>
  <si>
    <t>Gladiolus</t>
  </si>
  <si>
    <t>Coreopsis</t>
  </si>
  <si>
    <t>Jessamine</t>
  </si>
  <si>
    <t>Cowslip</t>
  </si>
  <si>
    <t>Sagebrush</t>
  </si>
  <si>
    <t>Lupine</t>
  </si>
  <si>
    <t>Bitterroot</t>
  </si>
  <si>
    <t>Trillium</t>
  </si>
  <si>
    <t>Bluebonnet</t>
  </si>
  <si>
    <t>Type</t>
  </si>
  <si>
    <t>Utilities</t>
  </si>
  <si>
    <t>5/16" U</t>
  </si>
  <si>
    <t>9/32" U</t>
  </si>
  <si>
    <t>1/4" U</t>
  </si>
  <si>
    <t>3/16" U</t>
  </si>
  <si>
    <t>1/2" C</t>
  </si>
  <si>
    <t>Common</t>
  </si>
  <si>
    <t>7/16" C</t>
  </si>
  <si>
    <t>3/8" C</t>
  </si>
  <si>
    <t>5/16" C</t>
  </si>
  <si>
    <t>9/32" C</t>
  </si>
  <si>
    <t>1/4" C</t>
  </si>
  <si>
    <t>3/16" C</t>
  </si>
  <si>
    <t>1" C</t>
  </si>
  <si>
    <t>7/8" C</t>
  </si>
  <si>
    <t>3/4" C</t>
  </si>
  <si>
    <t>5/8" C</t>
  </si>
  <si>
    <t>9/16" C</t>
  </si>
  <si>
    <t>7/32" C</t>
  </si>
  <si>
    <t>1/2" SM</t>
  </si>
  <si>
    <t>7/16" SM</t>
  </si>
  <si>
    <t>3/8" SM</t>
  </si>
  <si>
    <t>5/16" SM</t>
  </si>
  <si>
    <t>9/32" SM</t>
  </si>
  <si>
    <t>1/4" SM</t>
  </si>
  <si>
    <t>3/16" SM</t>
  </si>
  <si>
    <t>1" SM</t>
  </si>
  <si>
    <t>7/8" SM</t>
  </si>
  <si>
    <t>3/4" SM</t>
  </si>
  <si>
    <t>5/8" SM</t>
  </si>
  <si>
    <t>9/16" SM</t>
  </si>
  <si>
    <t>7/32" SM</t>
  </si>
  <si>
    <t>1/2" HSS</t>
  </si>
  <si>
    <t>High Strength</t>
  </si>
  <si>
    <t>7/16" HSS</t>
  </si>
  <si>
    <t>3/8" HSS</t>
  </si>
  <si>
    <t>5/16" HSS</t>
  </si>
  <si>
    <t>9/32" HSS</t>
  </si>
  <si>
    <t>1/4" HSS</t>
  </si>
  <si>
    <t>3/16" HSS</t>
  </si>
  <si>
    <t>1" HSS</t>
  </si>
  <si>
    <t>7/8" HSS</t>
  </si>
  <si>
    <t>3/4" HSS</t>
  </si>
  <si>
    <t>5/8" HSS</t>
  </si>
  <si>
    <t>9/16" HSS</t>
  </si>
  <si>
    <t>7/32" HSS</t>
  </si>
  <si>
    <t>1/2" EHSS</t>
  </si>
  <si>
    <t>7/16" EHSS</t>
  </si>
  <si>
    <t>3/8" EHSS</t>
  </si>
  <si>
    <t>5/16" EHSS</t>
  </si>
  <si>
    <t>9/32" EHSS</t>
  </si>
  <si>
    <t>1/4" EHSS</t>
  </si>
  <si>
    <t>3/16" EHSS</t>
  </si>
  <si>
    <t>1" EHSS</t>
  </si>
  <si>
    <t>7/8" EHSS</t>
  </si>
  <si>
    <t>3/4" EHSS</t>
  </si>
  <si>
    <t>5/8" EHSS</t>
  </si>
  <si>
    <t>9/16" EHSS</t>
  </si>
  <si>
    <t>7/32" EHSS</t>
  </si>
  <si>
    <t>OHGW</t>
  </si>
  <si>
    <t>Phase</t>
  </si>
  <si>
    <t>Transmission</t>
  </si>
  <si>
    <t>Neutral</t>
  </si>
  <si>
    <t>Distribution UB Ckt 2</t>
  </si>
  <si>
    <t>Diameter of Ice</t>
  </si>
  <si>
    <t>Wind in PSF</t>
  </si>
  <si>
    <t>Design Tension</t>
  </si>
  <si>
    <t>Total Horizontal Force per Foot  in lbs.</t>
  </si>
  <si>
    <t>Distance from Top of Pole in ft.</t>
  </si>
  <si>
    <t>Moment Referenced to Top of Pole</t>
  </si>
  <si>
    <t>Distribution Underbuild Ckt 1</t>
  </si>
  <si>
    <t>Sag at Ruling Span</t>
  </si>
  <si>
    <t>Ground Clearance</t>
  </si>
  <si>
    <t>Minimum Pole Height</t>
  </si>
  <si>
    <t>Pole Height Required</t>
  </si>
  <si>
    <t>% of Ultimate Strength</t>
  </si>
  <si>
    <t>2002 NESC TABLE 232-1</t>
  </si>
  <si>
    <t>Nature of surface
underneath wires,
conductors, or cables</t>
  </si>
  <si>
    <t>Insulated
communication
conductors and
cable; messengers;
surge-protection
wires, grounded
guys;
ungrounded guys
exposed to 0 to
300 V 
neutral conductors
meeting Rule
230E1; supply
cables meeting Rule
230C1
(ft)</t>
  </si>
  <si>
    <t>Noninsulated
communication
conductors;
supply cables of
0 to 750 V
meeting Rules
230C2 or
230C3
(ft)</t>
  </si>
  <si>
    <t>Supply
cables over
750 V
meeting
Rules 230C2
or 230C3;
open supply
conductors, 0
to 750 V
ungrounded
guys exposed
to over 300 V
to 750V14
(ft)</t>
  </si>
  <si>
    <t>Open supply
conductors,
over 750 V 0
to 22 kV;
ungrounded
guys
exposed to750 V to
22kV
(ft)</t>
  </si>
  <si>
    <t>Trolley and
electrified
railroad contact
conductors and
associated span or
messenger wires</t>
  </si>
  <si>
    <t>0 to 750 V
to
ground
(ft.)</t>
  </si>
  <si>
    <t>Over
750 V
to 22 KV
to ground
(ft.)</t>
  </si>
  <si>
    <t>Where wires, conductors, or cables cross over or overhang</t>
  </si>
  <si>
    <t>1. Track rails of railroads(except electrifiedrailroads using overheadtrolley conductors)2’ 16</t>
  </si>
  <si>
    <t>2. Roads, streets, and otherareas subject to trucktraffic 23</t>
  </si>
  <si>
    <t>3.Driveways, parking lots,and alleys</t>
  </si>
  <si>
    <t>4. Other land traversed byvehicles, such ascultivated, grazmg,forest, orchards, etc.26</t>
  </si>
  <si>
    <t>-</t>
  </si>
  <si>
    <t>5. Spaces and ways subjectto pedestrians or restricted traffic only9</t>
  </si>
  <si>
    <t>6. Water areas not suitablefor sailboating or wheresailboatmg isprohibited2’</t>
  </si>
  <si>
    <t>From Table 232-1. Vertical Clearance of Wires, Conductors, and Cables Above Ground, Roadway, Rail, or Water Surfaces, published in the 2002 National Electrical Safety Code (NESC); Copyright © 2001, IEEE. All rights reserved.</t>
  </si>
  <si>
    <t>a. Lessthan2Oacres</t>
  </si>
  <si>
    <t>b. Over2Oto200acres</t>
  </si>
  <si>
    <t>d. Over2000acres</t>
  </si>
  <si>
    <t>7.  Water areas suitable for sailbo ating including lakes, ponds, reservoirs, tidal waters, rivers, streams, and canals with an unobstructed surface area of’7’ 18, 19, 20,21</t>
  </si>
  <si>
    <t>8.  Established boat ramps and associated rigging areas; areas posted with sign(s) for rigging or launching boats</t>
  </si>
  <si>
    <t>Clearance above ground shall be 5 ft greater than in 7 above, 
for the type of water areas served by the launching site</t>
  </si>
  <si>
    <t>9. Roads, streets, or alleys</t>
  </si>
  <si>
    <t>10. Roads in rural districts where it is unlikely that vehicles will be crossing under the line</t>
  </si>
  <si>
    <t>Where wires, conductors, or cables run along and within the limits of the highways
or other road rights-of-way but not overhang the roadway</t>
  </si>
  <si>
    <t>c. Over200 to 2000 acres</t>
  </si>
  <si>
    <t>Allowable Ampacity (Amps)</t>
  </si>
  <si>
    <t>GAP8</t>
  </si>
  <si>
    <r>
      <t xml:space="preserve"> </t>
    </r>
    <r>
      <rPr>
        <sz val="12"/>
        <color indexed="8"/>
        <rFont val="Calibri"/>
        <family val="2"/>
        <scheme val="minor"/>
      </rPr>
      <t>Anchor Unit</t>
    </r>
    <r>
      <rPr>
        <sz val="11"/>
        <rFont val="Calibri"/>
        <family val="2"/>
        <scheme val="minor"/>
      </rPr>
      <t xml:space="preserve"> </t>
    </r>
  </si>
  <si>
    <t>GAP11</t>
  </si>
  <si>
    <t>GAP20</t>
  </si>
  <si>
    <t>GAS8</t>
  </si>
  <si>
    <t>GAS12</t>
  </si>
  <si>
    <t xml:space="preserve">Maximum Holding Power (lbs) </t>
  </si>
  <si>
    <t>Line Angle</t>
  </si>
  <si>
    <t>Ku</t>
  </si>
  <si>
    <t>Pcr</t>
  </si>
  <si>
    <t>Attachment Height</t>
  </si>
  <si>
    <t>Total Tension and Wind</t>
  </si>
  <si>
    <t>Tension with Overload</t>
  </si>
  <si>
    <t>Mimimum Circumference 6' from the Butt</t>
  </si>
  <si>
    <t>Vertical
Loading</t>
  </si>
  <si>
    <t>Pole
Data</t>
  </si>
  <si>
    <t>H2</t>
  </si>
  <si>
    <t>H1</t>
  </si>
  <si>
    <t>For running angle or multiple deadends Ku=0.7;  for single deadend Ku=2</t>
  </si>
  <si>
    <t>Transverse Wind
Loading</t>
  </si>
  <si>
    <t>Vertical Component based on 3:2 lead</t>
  </si>
  <si>
    <t>Vertical Component based on 1:1 lead</t>
  </si>
  <si>
    <t>Vertical Component based on 2:1 lead</t>
  </si>
  <si>
    <t>(Use with Table 261-1A Strength Factors)</t>
  </si>
  <si>
    <t>Rule 250B Loads</t>
  </si>
  <si>
    <t>Transverse Loads</t>
  </si>
  <si>
    <t>Longitudinal Loads</t>
  </si>
  <si>
    <t>Vertical Loads</t>
  </si>
  <si>
    <t>Wire Tension</t>
  </si>
  <si>
    <t>In General</t>
  </si>
  <si>
    <t>At Deadends</t>
  </si>
  <si>
    <t>At Deadends (for guys)</t>
  </si>
  <si>
    <t>Overload Factors for Poles, Guys, Anchors, Etc.</t>
  </si>
  <si>
    <t>No Req't</t>
  </si>
  <si>
    <t>Siemens-Martin</t>
  </si>
  <si>
    <t>Extra High Strength</t>
  </si>
  <si>
    <t>Guy Strand Rated Strength</t>
  </si>
  <si>
    <t>Anchor Rated Strength</t>
  </si>
  <si>
    <t>Table 261-1A Strength Factor</t>
  </si>
  <si>
    <t>Number of Guys</t>
  </si>
  <si>
    <t>Additional Load</t>
  </si>
  <si>
    <t>3/8" U</t>
  </si>
  <si>
    <t>7/16" U</t>
  </si>
  <si>
    <t>1/2" U</t>
  </si>
  <si>
    <t>Minimum Guy Lead Limited by Guy</t>
  </si>
  <si>
    <t>Minimum Guy Lead Limited by Anchor</t>
  </si>
  <si>
    <t>Span Lengths</t>
  </si>
  <si>
    <t xml:space="preserve">Ruling Span = </t>
  </si>
  <si>
    <t>Mockingbird</t>
  </si>
  <si>
    <t>Conductor Tension Referenced to Top of Pole</t>
  </si>
  <si>
    <t>Wind, psf</t>
  </si>
  <si>
    <t>Strength factors for use with loads of Rule 250B</t>
  </si>
  <si>
    <t>Strength factors for use with loads of Rule 250C</t>
  </si>
  <si>
    <t>Metal and Prestressed-Concrete Structures</t>
  </si>
  <si>
    <t>Wood and Reinforced-Concrete Structures</t>
  </si>
  <si>
    <t xml:space="preserve">Support Hardware </t>
  </si>
  <si>
    <t xml:space="preserve">Guy Wire </t>
  </si>
  <si>
    <t>Guy Anchor and Foundation</t>
  </si>
  <si>
    <t>Support Hardware</t>
  </si>
  <si>
    <t>Guy Wire</t>
  </si>
  <si>
    <t xml:space="preserve">Table 2 </t>
  </si>
  <si>
    <t xml:space="preserve">(NESC Table 261-1A) </t>
  </si>
  <si>
    <t xml:space="preserve">Strength Factors for Structures, Crossarms, Support Hardware, Guys, </t>
  </si>
  <si>
    <t xml:space="preserve">Foundations, and Anchors for Use with Overload Factors of NESC Table 253-1 </t>
  </si>
  <si>
    <t>NESC 253-1</t>
  </si>
  <si>
    <t>NESC Construction Grade</t>
  </si>
  <si>
    <t>B</t>
  </si>
  <si>
    <t xml:space="preserve">Table 1 </t>
  </si>
  <si>
    <t>Wood Pole Class Size (Nominal Strength)</t>
  </si>
  <si>
    <t xml:space="preserve">Class </t>
  </si>
  <si>
    <t xml:space="preserve">Size </t>
  </si>
  <si>
    <t xml:space="preserve">Lateral (Horizontal) Load, lbs. </t>
  </si>
  <si>
    <t xml:space="preserve">(applied 2 ft. from tip) </t>
  </si>
  <si>
    <t>H6</t>
  </si>
  <si>
    <t>H5</t>
  </si>
  <si>
    <t>H4</t>
  </si>
  <si>
    <t>H3</t>
  </si>
  <si>
    <t>Max Unguyed Span @ Line Angle</t>
  </si>
  <si>
    <t>Wood</t>
  </si>
  <si>
    <t>^Insert Spans above this line^</t>
  </si>
  <si>
    <t>30CL2-R</t>
  </si>
  <si>
    <t>35CL2-R</t>
  </si>
  <si>
    <t>40CL2-R</t>
  </si>
  <si>
    <t>45CL2-R</t>
  </si>
  <si>
    <t>50CL2-R</t>
  </si>
  <si>
    <t>55CL2-R</t>
  </si>
  <si>
    <t>60CL2-R</t>
  </si>
  <si>
    <t>65CL2-R</t>
  </si>
  <si>
    <t>70CL2-R</t>
  </si>
  <si>
    <t>75CL2-R</t>
  </si>
  <si>
    <t>80CL2-R</t>
  </si>
  <si>
    <t xml:space="preserve"> </t>
  </si>
  <si>
    <t>Embedment Depth (ft)</t>
  </si>
  <si>
    <t>Ultimate Moment Capacity at GL (ft-kips)</t>
  </si>
  <si>
    <t>Catalog Number</t>
  </si>
  <si>
    <t>30CL1-R</t>
  </si>
  <si>
    <t>35CL1-R</t>
  </si>
  <si>
    <t>40CL1-R</t>
  </si>
  <si>
    <t>45CL1-R</t>
  </si>
  <si>
    <t>50CL1-R</t>
  </si>
  <si>
    <t>55CL1-R</t>
  </si>
  <si>
    <t>60CL1-R</t>
  </si>
  <si>
    <t>65CL1-R</t>
  </si>
  <si>
    <t>70CL1-R</t>
  </si>
  <si>
    <t>75CL1-R</t>
  </si>
  <si>
    <t>80CL1-R</t>
  </si>
  <si>
    <t>85CL1-R</t>
  </si>
  <si>
    <t>30CLH1-R</t>
  </si>
  <si>
    <t>35CLH1-R</t>
  </si>
  <si>
    <t>40CLH1-R</t>
  </si>
  <si>
    <t>45CLH1-R</t>
  </si>
  <si>
    <t>50CLH1-R</t>
  </si>
  <si>
    <t>55CLH1-R</t>
  </si>
  <si>
    <t>60CLH1-R</t>
  </si>
  <si>
    <t>65CLH1-R</t>
  </si>
  <si>
    <t>70CLH1-R</t>
  </si>
  <si>
    <t>75CLH1-R</t>
  </si>
  <si>
    <t>80CLH1-R</t>
  </si>
  <si>
    <t>0.188 / 0.250</t>
  </si>
  <si>
    <t>85CLH1-R</t>
  </si>
  <si>
    <t>30CLH2-R</t>
  </si>
  <si>
    <t>35CLH2-R</t>
  </si>
  <si>
    <t>40CLH2-R</t>
  </si>
  <si>
    <t>45CLH2-R</t>
  </si>
  <si>
    <t>50CLH2-R</t>
  </si>
  <si>
    <t>55CLH2-R</t>
  </si>
  <si>
    <t>60CLH2-R</t>
  </si>
  <si>
    <t>65CLH2-R</t>
  </si>
  <si>
    <t>70CLH2-R</t>
  </si>
  <si>
    <t>75CLH2-R</t>
  </si>
  <si>
    <t>Galvanized Weight (lbs)</t>
  </si>
  <si>
    <t>C</t>
  </si>
  <si>
    <t>Overload Factors for Grade</t>
  </si>
  <si>
    <t>Using Dist Calc</t>
  </si>
  <si>
    <t>da</t>
  </si>
  <si>
    <t>dg</t>
  </si>
  <si>
    <t>IA</t>
  </si>
  <si>
    <t>Grade</t>
  </si>
  <si>
    <t>Transverse Wind</t>
  </si>
  <si>
    <t>Transverse Wire Tension</t>
  </si>
  <si>
    <t>Longitudinal Loads In General</t>
  </si>
  <si>
    <t>Longitudinal Loads At Deadends</t>
  </si>
  <si>
    <t>Longitudinal Loads At Deadends (for guys)</t>
  </si>
  <si>
    <t>Allowable Vertical Load w/SF</t>
  </si>
  <si>
    <t>NESC 253-1 Overload Factor</t>
  </si>
  <si>
    <t>Desigh Criteria</t>
  </si>
  <si>
    <t>NESC Loading Zone</t>
  </si>
  <si>
    <t>(Heavy, Medium or Light)</t>
  </si>
  <si>
    <t>Radial Ice, radius in inches</t>
  </si>
  <si>
    <t>Weight per Foot of Conductor in lbs.</t>
  </si>
  <si>
    <t>Insulator Swing</t>
  </si>
  <si>
    <t>No. of Insulators in String</t>
  </si>
  <si>
    <t>Moment at the Pole Top
 due to Conductor Tension</t>
  </si>
  <si>
    <t>NESC 261-1 Strength Factor (SF)</t>
  </si>
  <si>
    <t>Wind Force at Guy Attachment</t>
  </si>
  <si>
    <t>Transverse Wind on Conductors</t>
  </si>
  <si>
    <t>Ruling Span</t>
  </si>
  <si>
    <t>Conductor Tension</t>
  </si>
  <si>
    <t>Tension due to Wind on Pole (@90% out of ground)</t>
  </si>
  <si>
    <t>Guy Strand Allowable Strength</t>
  </si>
  <si>
    <t>Transverse Wind on Conductors OLF from 253-1</t>
  </si>
  <si>
    <t>Tansverse Wire tension OLF for 253-1</t>
  </si>
  <si>
    <t>Total Tension from Wire &amp; Wind w/OLF</t>
  </si>
  <si>
    <t>THIS PROGRAM IS STILL IN DEVELOPMENT.</t>
  </si>
  <si>
    <t>Union Metal Corp Pole Data</t>
  </si>
  <si>
    <t>Conductor Desc</t>
  </si>
  <si>
    <t>Diameter 6' from Butt of Pole (in)</t>
  </si>
  <si>
    <t>Diameter at Top of Pole (in)</t>
  </si>
  <si>
    <t>Diameter at Groundline (in)</t>
  </si>
  <si>
    <r>
      <t>Section Modulus at Groundline (in</t>
    </r>
    <r>
      <rPr>
        <vertAlign val="superscript"/>
        <sz val="12"/>
        <color theme="1"/>
        <rFont val="Calibri"/>
        <family val="2"/>
        <scheme val="minor"/>
      </rPr>
      <t>3</t>
    </r>
    <r>
      <rPr>
        <sz val="11"/>
        <color theme="1"/>
        <rFont val="Calibri"/>
        <family val="2"/>
        <scheme val="minor"/>
      </rPr>
      <t>)</t>
    </r>
  </si>
  <si>
    <t>Ultimate Resisting Moment (ft-lbs)</t>
  </si>
  <si>
    <t>Allowable Loading w/SF (ft-lbs)</t>
  </si>
  <si>
    <t>Moment at the Ground due to Wind on the Pole (ft-lbs)</t>
  </si>
  <si>
    <t>Allowable Loading Less Moment due to Wind on Pole (ft-lbs)</t>
  </si>
  <si>
    <t>Total Conductor Loading for 1ft. Span w/ OLF (ft-lbs)</t>
  </si>
  <si>
    <t>Maximum Span Limited by Transverse Wind Load (feet)</t>
  </si>
  <si>
    <t>Line Angle (degrees)</t>
  </si>
  <si>
    <t>Total  Moment at Ground due to Conductor Angular Tensions w/ OLF (ft-lbs)</t>
  </si>
  <si>
    <t>Total Conductor Loading for 1ft. Span @ Line Angle w/ OLF (lbs)</t>
  </si>
  <si>
    <t>Max Span at angle (feet)</t>
  </si>
  <si>
    <t>Weight of Insulator String @ 13.5lbs/insulator (lbs)</t>
  </si>
  <si>
    <t>Additional Weight (lbs.)</t>
  </si>
  <si>
    <r>
      <t>Conductor Tension @30</t>
    </r>
    <r>
      <rPr>
        <sz val="11"/>
        <color theme="1"/>
        <rFont val="Calibri"/>
        <family val="2"/>
      </rPr>
      <t>° Initial (lbs)</t>
    </r>
  </si>
  <si>
    <t>Wind Span (feet)</t>
  </si>
  <si>
    <t>Critical Swing Angle (degrees)</t>
  </si>
  <si>
    <t>Conductor Swing @ Line Angle, Max Span &amp; No Wind (degrees)</t>
  </si>
  <si>
    <t>Conductor Swing @ Line Angle &amp; Max Span w/Wind (degrees)</t>
  </si>
  <si>
    <t>Min Weight Span @ Line Angle, Critical Swing Angle &amp; Wind Span (feet)</t>
  </si>
  <si>
    <t>E (modulus of elasticity psi)</t>
  </si>
  <si>
    <t>Distance from Top of Pole to Bottom Guy (ft)</t>
  </si>
  <si>
    <r>
      <t>Area at Critical Point (in</t>
    </r>
    <r>
      <rPr>
        <vertAlign val="superscript"/>
        <sz val="12"/>
        <color theme="1"/>
        <rFont val="Calibri"/>
        <family val="2"/>
        <scheme val="minor"/>
      </rPr>
      <t>2</t>
    </r>
    <r>
      <rPr>
        <sz val="11"/>
        <color theme="1"/>
        <rFont val="Calibri"/>
        <family val="2"/>
        <scheme val="minor"/>
      </rPr>
      <t>)</t>
    </r>
  </si>
  <si>
    <t>Critical Buckling Load Pcr (lbs)</t>
  </si>
  <si>
    <t>Moment on Pole at the Ground Line due to Wind (ft-lbs)</t>
  </si>
  <si>
    <t>Height of lowest Transmission Guy (ft)</t>
  </si>
  <si>
    <t>Project Description:</t>
  </si>
  <si>
    <t>Double Circuit 46kV Post with 636AAC/954AAC</t>
  </si>
  <si>
    <t>Total Tension due to Conductor Angle</t>
  </si>
  <si>
    <t>Deflection Angle Slope (Degrees)</t>
  </si>
  <si>
    <t>Deflection at Top of Pole (Inches)</t>
  </si>
  <si>
    <t xml:space="preserve">C4-055-69 </t>
  </si>
  <si>
    <t xml:space="preserve">C4-050-62 </t>
  </si>
  <si>
    <t xml:space="preserve">C4-045-55 </t>
  </si>
  <si>
    <t xml:space="preserve">C4-040-48 </t>
  </si>
  <si>
    <t xml:space="preserve">﻿C3-060-94 </t>
  </si>
  <si>
    <t xml:space="preserve">C3-055-86 </t>
  </si>
  <si>
    <t xml:space="preserve">C3-050-77 </t>
  </si>
  <si>
    <t xml:space="preserve">C3-045-69 </t>
  </si>
  <si>
    <t xml:space="preserve">C3-040-60 </t>
  </si>
  <si>
    <t xml:space="preserve">﻿C2-060-116 </t>
  </si>
  <si>
    <t xml:space="preserve">C2-055-106 </t>
  </si>
  <si>
    <t xml:space="preserve">C2-050-95 </t>
  </si>
  <si>
    <t xml:space="preserve">C2-045-85 </t>
  </si>
  <si>
    <t xml:space="preserve">C2-040-74 </t>
  </si>
  <si>
    <t xml:space="preserve">﻿C1-090-220 </t>
  </si>
  <si>
    <t xml:space="preserve">C1-085-207 </t>
  </si>
  <si>
    <t xml:space="preserve">C1-080-194 </t>
  </si>
  <si>
    <t xml:space="preserve">C1-075-181 </t>
  </si>
  <si>
    <t xml:space="preserve">C1-070-168 </t>
  </si>
  <si>
    <t xml:space="preserve">C1-065-155 </t>
  </si>
  <si>
    <t xml:space="preserve">C1-060-142 </t>
  </si>
  <si>
    <t xml:space="preserve">C1-055-129 </t>
  </si>
  <si>
    <t xml:space="preserve">C1-050-116 </t>
  </si>
  <si>
    <t xml:space="preserve">﻿H1-090-263 </t>
  </si>
  <si>
    <t xml:space="preserve">H1-085-247 </t>
  </si>
  <si>
    <t xml:space="preserve">H1-080-232 </t>
  </si>
  <si>
    <t xml:space="preserve">H1-075-216 </t>
  </si>
  <si>
    <t xml:space="preserve">H1-070-201 </t>
  </si>
  <si>
    <t xml:space="preserve">H1-065-185 </t>
  </si>
  <si>
    <t xml:space="preserve">H1-060-170 </t>
  </si>
  <si>
    <t xml:space="preserve">H1-055-154 </t>
  </si>
  <si>
    <t xml:space="preserve">H1-050-139 </t>
  </si>
  <si>
    <t xml:space="preserve">﻿H2-100-348 </t>
  </si>
  <si>
    <t xml:space="preserve">H2-095-329 </t>
  </si>
  <si>
    <t xml:space="preserve">H2-090-311 </t>
  </si>
  <si>
    <t xml:space="preserve">H2-085-292 </t>
  </si>
  <si>
    <t xml:space="preserve">H2-080-274 </t>
  </si>
  <si>
    <t xml:space="preserve">H2-075-256 </t>
  </si>
  <si>
    <t xml:space="preserve">H2-070-237 </t>
  </si>
  <si>
    <t xml:space="preserve">H2-065-219 </t>
  </si>
  <si>
    <t xml:space="preserve">H2-060-201 </t>
  </si>
  <si>
    <t xml:space="preserve">H3-110-451 </t>
  </si>
  <si>
    <t xml:space="preserve">H3-105-429 </t>
  </si>
  <si>
    <t xml:space="preserve">H3-100-407 </t>
  </si>
  <si>
    <t xml:space="preserve">H3-095-385 </t>
  </si>
  <si>
    <t xml:space="preserve">H3-090-364 </t>
  </si>
  <si>
    <t xml:space="preserve">H3-085-342 </t>
  </si>
  <si>
    <t xml:space="preserve">H3-080-321 </t>
  </si>
  <si>
    <t xml:space="preserve">H3-075-299 </t>
  </si>
  <si>
    <t xml:space="preserve">H3-070-278 </t>
  </si>
  <si>
    <t xml:space="preserve">﻿H3-065-257 </t>
  </si>
  <si>
    <t xml:space="preserve">﻿H3-060-235 </t>
  </si>
  <si>
    <t xml:space="preserve">﻿H4-110-522 </t>
  </si>
  <si>
    <t xml:space="preserve">H4-105-497 </t>
  </si>
  <si>
    <t xml:space="preserve">H4-100-472 </t>
  </si>
  <si>
    <t xml:space="preserve">H4-095-447 </t>
  </si>
  <si>
    <t xml:space="preserve">H4-090-422 </t>
  </si>
  <si>
    <t xml:space="preserve">H4-085-397 </t>
  </si>
  <si>
    <t xml:space="preserve">H4-080-372 </t>
  </si>
  <si>
    <t xml:space="preserve">H4-075-347 </t>
  </si>
  <si>
    <t xml:space="preserve">H4-070-322 </t>
  </si>
  <si>
    <t xml:space="preserve">H4-065-297 </t>
  </si>
  <si>
    <t xml:space="preserve">H4-060-273 </t>
  </si>
  <si>
    <t xml:space="preserve">H5-110-598 </t>
  </si>
  <si>
    <t xml:space="preserve">H5-105-570 </t>
  </si>
  <si>
    <t xml:space="preserve">H5-100-541 </t>
  </si>
  <si>
    <t xml:space="preserve">H5-095-512 </t>
  </si>
  <si>
    <t xml:space="preserve">H5-090-484 </t>
  </si>
  <si>
    <t xml:space="preserve">H5-085-455 </t>
  </si>
  <si>
    <t xml:space="preserve">H5-075-398 </t>
  </si>
  <si>
    <t xml:space="preserve">H5-070-370 </t>
  </si>
  <si>
    <t xml:space="preserve">H5-065-342 </t>
  </si>
  <si>
    <t xml:space="preserve">H5-060-313 </t>
  </si>
  <si>
    <t xml:space="preserve">﻿H6-110-681 </t>
  </si>
  <si>
    <t xml:space="preserve">H6-105-649 </t>
  </si>
  <si>
    <t xml:space="preserve">H6-100-616 </t>
  </si>
  <si>
    <t xml:space="preserve">H6-095-584 </t>
  </si>
  <si>
    <t xml:space="preserve">H6-090-551 </t>
  </si>
  <si>
    <t xml:space="preserve">H6-085-519 </t>
  </si>
  <si>
    <t xml:space="preserve">H6-080-486 </t>
  </si>
  <si>
    <t xml:space="preserve">H6-075-454 </t>
  </si>
  <si>
    <t xml:space="preserve">H6-070-422 </t>
  </si>
  <si>
    <t xml:space="preserve">H6-065-389 </t>
  </si>
  <si>
    <t xml:space="preserve">H6-060-357 </t>
  </si>
  <si>
    <t xml:space="preserve">  </t>
  </si>
  <si>
    <t xml:space="preserve">﻿C4-060-75 </t>
  </si>
  <si>
    <t xml:space="preserve">﻿Catalog Number  </t>
  </si>
  <si>
    <t xml:space="preserve">Gnd. Line   Dia.   (in.) </t>
  </si>
  <si>
    <t xml:space="preserve">Ultimate   Mom. Cap.   @Gnd. Line   (ft. - kips) </t>
  </si>
  <si>
    <t xml:space="preserve">Pole   Weight   (lbs.) </t>
  </si>
  <si>
    <t>The Transverse Loading Deflection calculation is based the formulae presented in tables B1 and B4 of the AASHTO STANDARD SPECIFICATIONS FOR STRUCTURAL SUPPORTS FOR HIGHWAY SIGNS, LUMINAIRES, AND TRAFFIC SIGNALS, Appendix B: Design Aids as follows:</t>
  </si>
  <si>
    <t>where:</t>
  </si>
  <si>
    <t xml:space="preserve">Part Number </t>
  </si>
  <si>
    <t xml:space="preserve">Standard Weight (lb) </t>
  </si>
  <si>
    <t xml:space="preserve"># of Sections </t>
  </si>
  <si>
    <t xml:space="preserve">Minimum Ground Line Capacity (ft-kips) </t>
  </si>
  <si>
    <t xml:space="preserve">Embed Depth (feet) </t>
  </si>
  <si>
    <t xml:space="preserve">H330 </t>
  </si>
  <si>
    <t xml:space="preserve">H335 </t>
  </si>
  <si>
    <t xml:space="preserve">H340 </t>
  </si>
  <si>
    <t xml:space="preserve">H345 </t>
  </si>
  <si>
    <t xml:space="preserve">H350 </t>
  </si>
  <si>
    <t xml:space="preserve">H355 </t>
  </si>
  <si>
    <t xml:space="preserve">H360 </t>
  </si>
  <si>
    <t xml:space="preserve">H365 </t>
  </si>
  <si>
    <t xml:space="preserve">H230 </t>
  </si>
  <si>
    <t xml:space="preserve">H235 </t>
  </si>
  <si>
    <t xml:space="preserve">H240 </t>
  </si>
  <si>
    <t xml:space="preserve">H245 </t>
  </si>
  <si>
    <t xml:space="preserve">H250 </t>
  </si>
  <si>
    <t xml:space="preserve">H255 </t>
  </si>
  <si>
    <t xml:space="preserve">H260 </t>
  </si>
  <si>
    <t xml:space="preserve">H265 </t>
  </si>
  <si>
    <t xml:space="preserve">H130 </t>
  </si>
  <si>
    <t xml:space="preserve">H135 </t>
  </si>
  <si>
    <t xml:space="preserve">H140 </t>
  </si>
  <si>
    <t xml:space="preserve">H145 </t>
  </si>
  <si>
    <t xml:space="preserve">H150 </t>
  </si>
  <si>
    <t xml:space="preserve">H155 </t>
  </si>
  <si>
    <t xml:space="preserve">H160 </t>
  </si>
  <si>
    <t xml:space="preserve">H165 </t>
  </si>
  <si>
    <t xml:space="preserve">C130 </t>
  </si>
  <si>
    <t xml:space="preserve">C135 </t>
  </si>
  <si>
    <t xml:space="preserve">C140 </t>
  </si>
  <si>
    <t xml:space="preserve">C145 </t>
  </si>
  <si>
    <t xml:space="preserve">C150 </t>
  </si>
  <si>
    <t xml:space="preserve">C155 </t>
  </si>
  <si>
    <t xml:space="preserve">C160 </t>
  </si>
  <si>
    <t xml:space="preserve">C165 </t>
  </si>
  <si>
    <t xml:space="preserve">C170 </t>
  </si>
  <si>
    <t xml:space="preserve">C230 </t>
  </si>
  <si>
    <t xml:space="preserve">C235 </t>
  </si>
  <si>
    <t xml:space="preserve">C240 </t>
  </si>
  <si>
    <t xml:space="preserve">C245 </t>
  </si>
  <si>
    <t xml:space="preserve">C250 </t>
  </si>
  <si>
    <t xml:space="preserve">C255 </t>
  </si>
  <si>
    <t xml:space="preserve">C260 </t>
  </si>
  <si>
    <t xml:space="preserve">C265 </t>
  </si>
  <si>
    <t xml:space="preserve">C270 </t>
  </si>
  <si>
    <t xml:space="preserve">C330 </t>
  </si>
  <si>
    <t xml:space="preserve">C335 </t>
  </si>
  <si>
    <t xml:space="preserve">C340 </t>
  </si>
  <si>
    <t xml:space="preserve">C345 </t>
  </si>
  <si>
    <t xml:space="preserve">C350 </t>
  </si>
  <si>
    <t xml:space="preserve">C355 </t>
  </si>
  <si>
    <t xml:space="preserve">C360 </t>
  </si>
  <si>
    <t xml:space="preserve">C365 </t>
  </si>
  <si>
    <t xml:space="preserve">C370 </t>
  </si>
  <si>
    <t xml:space="preserve">C430 </t>
  </si>
  <si>
    <t xml:space="preserve">C435 </t>
  </si>
  <si>
    <t xml:space="preserve">C440 </t>
  </si>
  <si>
    <t xml:space="preserve">C445 </t>
  </si>
  <si>
    <t xml:space="preserve">C450 </t>
  </si>
  <si>
    <t xml:space="preserve">C455 </t>
  </si>
  <si>
    <t xml:space="preserve">C460 </t>
  </si>
  <si>
    <t xml:space="preserve">C465 </t>
  </si>
  <si>
    <t>﻿30CL3-R</t>
  </si>
  <si>
    <t>35CL3-R</t>
  </si>
  <si>
    <t>40CL3-R</t>
  </si>
  <si>
    <t>45CL3-R</t>
  </si>
  <si>
    <t>50CL3-R</t>
  </si>
  <si>
    <t>55CL3-R</t>
  </si>
  <si>
    <t>60CL3-R</t>
  </si>
  <si>
    <t>65CL3-R</t>
  </si>
  <si>
    <t>70CL3-R</t>
  </si>
  <si>
    <t>75CL3-R</t>
  </si>
  <si>
    <t>80CL3-R</t>
  </si>
  <si>
    <t>85CL3-R</t>
  </si>
  <si>
    <t>﻿30CL4-R</t>
  </si>
  <si>
    <t>35CL4-R</t>
  </si>
  <si>
    <t>40CL4-R</t>
  </si>
  <si>
    <t>45CL4-R</t>
  </si>
  <si>
    <t>50CL4-R</t>
  </si>
  <si>
    <t>55CL4-R</t>
  </si>
  <si>
    <t>60CL4-R</t>
  </si>
  <si>
    <t>65CL4-R</t>
  </si>
  <si>
    <t>70CL4-R</t>
  </si>
  <si>
    <t>75CL4-R</t>
  </si>
  <si>
    <t>80CL4-R</t>
  </si>
  <si>
    <t>85CL4-R</t>
  </si>
  <si>
    <t>﻿30CL5-R</t>
  </si>
  <si>
    <t>35CL5-R</t>
  </si>
  <si>
    <t>40CL5-R</t>
  </si>
  <si>
    <t>45CL5-R</t>
  </si>
  <si>
    <t>50CL5-R</t>
  </si>
  <si>
    <t>55CL5-R</t>
  </si>
  <si>
    <t>60CL5-R</t>
  </si>
  <si>
    <t>65CL5-R</t>
  </si>
  <si>
    <t>70CL5-R</t>
  </si>
  <si>
    <t>75CL5-R</t>
  </si>
  <si>
    <t>80CL5-R</t>
  </si>
  <si>
    <t>85CL5-R</t>
  </si>
  <si>
    <t>﻿40CLH3-MS</t>
  </si>
  <si>
    <t>45CLH3-MS</t>
  </si>
  <si>
    <t>50CLH3-MS</t>
  </si>
  <si>
    <t>55CLH3-MS</t>
  </si>
  <si>
    <t>60CLH3-MS</t>
  </si>
  <si>
    <t>65CLH3-MS</t>
  </si>
  <si>
    <t>70CLH3-MS</t>
  </si>
  <si>
    <t>75CLH3-MS</t>
  </si>
  <si>
    <t>80CLH3-MS</t>
  </si>
  <si>
    <t>85CLH3-MS</t>
  </si>
  <si>
    <t>90CLH3-MS</t>
  </si>
  <si>
    <t>95CLH3-MS</t>
  </si>
  <si>
    <t>100CLH3-MS</t>
  </si>
  <si>
    <t>105CLH3-MS</t>
  </si>
  <si>
    <t>110CLH3-MS</t>
  </si>
  <si>
    <t>115CLH3-MS</t>
  </si>
  <si>
    <t>120CLH3-MS</t>
  </si>
  <si>
    <t>125CLH3-MS</t>
  </si>
  <si>
    <t>130CLH3-MS</t>
  </si>
  <si>
    <t>﻿40CLH4-MS</t>
  </si>
  <si>
    <t>45CLH4-MS</t>
  </si>
  <si>
    <t>50CLH4-MS</t>
  </si>
  <si>
    <t>55CLH4-MS</t>
  </si>
  <si>
    <t>60CLH4-MS</t>
  </si>
  <si>
    <t>65CLH4-MS</t>
  </si>
  <si>
    <t>70CLH4-MS</t>
  </si>
  <si>
    <t>75CLH4-MS</t>
  </si>
  <si>
    <t>80CLH4-MS</t>
  </si>
  <si>
    <t>85CLH4-MS</t>
  </si>
  <si>
    <t>90CLH4-MS</t>
  </si>
  <si>
    <t>95CLH4-MS</t>
  </si>
  <si>
    <t>100CLH4-MS</t>
  </si>
  <si>
    <t>105CLH4-MS</t>
  </si>
  <si>
    <t>110CLH4-MS</t>
  </si>
  <si>
    <t>115CLH4-MS</t>
  </si>
  <si>
    <t>120CLH4-MS</t>
  </si>
  <si>
    <t>125CLH4-MS</t>
  </si>
  <si>
    <t>130CLH4-MS</t>
  </si>
  <si>
    <t>45CLH5-MS</t>
  </si>
  <si>
    <t>50CLH5-MS</t>
  </si>
  <si>
    <t>55CLH5-MS</t>
  </si>
  <si>
    <t>60CLH5-MS</t>
  </si>
  <si>
    <t>65CLH5-MS</t>
  </si>
  <si>
    <t>70CLH5-MS</t>
  </si>
  <si>
    <t>75CLH5-MS</t>
  </si>
  <si>
    <t>80CLH5-MS</t>
  </si>
  <si>
    <t>85CLH5-MS</t>
  </si>
  <si>
    <t>90CLH5-MS</t>
  </si>
  <si>
    <t>95CLH5-MS</t>
  </si>
  <si>
    <t>100CLH5-MS</t>
  </si>
  <si>
    <t>105CLH5-MS</t>
  </si>
  <si>
    <t>110CLH5-MS</t>
  </si>
  <si>
    <t>115CLH5-MS</t>
  </si>
  <si>
    <t>120CLH5-MS</t>
  </si>
  <si>
    <t>125CLH5-MS</t>
  </si>
  <si>
    <t>130CLH5-MS</t>
  </si>
  <si>
    <t>﻿40CLH5-MS</t>
  </si>
  <si>
    <t>﻿40CLH6-MS</t>
  </si>
  <si>
    <t>45CLH6-MS</t>
  </si>
  <si>
    <t>50CLH6-MS</t>
  </si>
  <si>
    <t>55CLH6-MS</t>
  </si>
  <si>
    <t>60CLH6-MS</t>
  </si>
  <si>
    <t>65CLH6-MS</t>
  </si>
  <si>
    <t>70CLH6-MS</t>
  </si>
  <si>
    <t>75CLH6-MS</t>
  </si>
  <si>
    <t>80CLH6-MS</t>
  </si>
  <si>
    <t>85CLH6-MS</t>
  </si>
  <si>
    <t>90CLH6-MS</t>
  </si>
  <si>
    <t>95CLH6-MS</t>
  </si>
  <si>
    <t>100CLH6-MS</t>
  </si>
  <si>
    <t>105CLH6-MS</t>
  </si>
  <si>
    <t>110CLH6-MS</t>
  </si>
  <si>
    <t>115CLH6-MS</t>
  </si>
  <si>
    <t>120CLH6-MS</t>
  </si>
  <si>
    <t>125CLH6-MS</t>
  </si>
  <si>
    <t>130CLH6-MS</t>
  </si>
  <si>
    <t>Shape</t>
  </si>
  <si>
    <t>Round</t>
  </si>
  <si>
    <t>4</t>
  </si>
  <si>
    <t>3</t>
  </si>
  <si>
    <t>2</t>
  </si>
  <si>
    <t>1</t>
  </si>
  <si>
    <t>5</t>
  </si>
  <si>
    <t xml:space="preserve">E = modulus of elasticity </t>
  </si>
  <si>
    <t xml:space="preserve">t = wall thickness </t>
  </si>
  <si>
    <t xml:space="preserve">W = load </t>
  </si>
  <si>
    <t>ft.</t>
  </si>
  <si>
    <t>in.</t>
  </si>
  <si>
    <t>McWane</t>
  </si>
  <si>
    <t>Tapp</t>
  </si>
  <si>
    <t>Union</t>
  </si>
  <si>
    <t>Pole Hgt</t>
  </si>
  <si>
    <t>Base Dia</t>
  </si>
  <si>
    <t>Top Dia</t>
  </si>
  <si>
    <t>Wall Thickness</t>
  </si>
  <si>
    <t>Pole Mfgr</t>
  </si>
  <si>
    <t>Tension at Top of Pole (ft-lbs)</t>
  </si>
  <si>
    <t>deg.</t>
  </si>
  <si>
    <t>TransAmerican Power Products, Inc.</t>
  </si>
  <si>
    <t>McWane Poles</t>
  </si>
  <si>
    <t>lbs.</t>
  </si>
  <si>
    <t xml:space="preserve">L = length of the beam (from ground line to top of pole) </t>
  </si>
  <si>
    <r>
      <t>y</t>
    </r>
    <r>
      <rPr>
        <vertAlign val="subscript"/>
        <sz val="11"/>
        <color theme="1"/>
        <rFont val="Calibri"/>
        <family val="2"/>
        <scheme val="minor"/>
      </rPr>
      <t>max</t>
    </r>
    <r>
      <rPr>
        <sz val="11"/>
        <color theme="1"/>
        <rFont val="Calibri"/>
        <family val="2"/>
        <scheme val="minor"/>
      </rPr>
      <t xml:space="preserve"> (maximum horizontal deflection at free end of beam)</t>
    </r>
  </si>
  <si>
    <r>
      <t>R</t>
    </r>
    <r>
      <rPr>
        <vertAlign val="subscript"/>
        <sz val="11"/>
        <color theme="1"/>
        <rFont val="Calibri"/>
        <family val="2"/>
        <scheme val="minor"/>
      </rPr>
      <t>A</t>
    </r>
    <r>
      <rPr>
        <sz val="11"/>
        <color theme="1"/>
        <rFont val="Calibri"/>
        <family val="2"/>
        <scheme val="minor"/>
      </rPr>
      <t xml:space="preserve"> = radius measured to mid-thickness of wall at free end</t>
    </r>
  </si>
  <si>
    <r>
      <t>R</t>
    </r>
    <r>
      <rPr>
        <vertAlign val="subscript"/>
        <sz val="11"/>
        <color theme="1"/>
        <rFont val="Calibri"/>
        <family val="2"/>
        <scheme val="minor"/>
      </rPr>
      <t>B</t>
    </r>
    <r>
      <rPr>
        <sz val="11"/>
        <color theme="1"/>
        <rFont val="Calibri"/>
        <family val="2"/>
        <scheme val="minor"/>
      </rPr>
      <t xml:space="preserve"> = radius measured to mid-thickness of wall at fixed end</t>
    </r>
  </si>
  <si>
    <t>Calculation of Pole Deflection for Metal Poles</t>
  </si>
  <si>
    <t>Transmission Ckt 2</t>
  </si>
  <si>
    <t>Transmission Loading</t>
  </si>
  <si>
    <t>Miscellaneous Transmission Guying</t>
  </si>
  <si>
    <t>Medium</t>
  </si>
  <si>
    <t xml:space="preserve">Where: </t>
  </si>
  <si>
    <t>From: AASHTO STANDARD SPECIFICATIONS FOR STRUCTURAL SUPPORTS FOR HIGHWAY SIGNS, LUMINAIRES, AND TRAFFIC SIGNALS, Appendix B: Design Aids</t>
  </si>
  <si>
    <t>Conductor Code Word (from Conductor tab)</t>
  </si>
  <si>
    <t>McWane, Tapp or Union</t>
  </si>
  <si>
    <t>h1</t>
  </si>
  <si>
    <t>12 Sided</t>
  </si>
  <si>
    <t>C = cross-sectional constant defined per Table B-1  (see ref)</t>
  </si>
  <si>
    <r>
      <t>d</t>
    </r>
    <r>
      <rPr>
        <vertAlign val="subscript"/>
        <sz val="11"/>
        <color theme="1"/>
        <rFont val="Calibri"/>
        <family val="2"/>
        <scheme val="minor"/>
      </rPr>
      <t>a</t>
    </r>
    <r>
      <rPr>
        <sz val="11"/>
        <color theme="1"/>
        <rFont val="Calibri"/>
        <family val="2"/>
        <scheme val="minor"/>
      </rPr>
      <t xml:space="preserve"> = diameter at free end
d</t>
    </r>
    <r>
      <rPr>
        <vertAlign val="subscript"/>
        <sz val="11"/>
        <color theme="1"/>
        <rFont val="Calibri"/>
        <family val="2"/>
        <scheme val="minor"/>
      </rPr>
      <t>b</t>
    </r>
    <r>
      <rPr>
        <sz val="11"/>
        <color theme="1"/>
        <rFont val="Calibri"/>
        <family val="2"/>
        <scheme val="minor"/>
      </rPr>
      <t xml:space="preserve"> = diameter at fixed end
E = modulus of elasticity
I</t>
    </r>
    <r>
      <rPr>
        <vertAlign val="subscript"/>
        <sz val="11"/>
        <color theme="1"/>
        <rFont val="Calibri"/>
        <family val="2"/>
        <scheme val="minor"/>
      </rPr>
      <t xml:space="preserve">a </t>
    </r>
    <r>
      <rPr>
        <sz val="11"/>
        <color theme="1"/>
        <rFont val="Calibri"/>
        <family val="2"/>
        <scheme val="minor"/>
      </rPr>
      <t>= moment of inertia of cross-section at free end of beam
L = length
M = moment applied at free end of beam
P = horizontal load applied at free end of beam
w = uniformly distributed load applied along the beam length
y</t>
    </r>
    <r>
      <rPr>
        <vertAlign val="subscript"/>
        <sz val="11"/>
        <color theme="1"/>
        <rFont val="Calibri"/>
        <family val="2"/>
        <scheme val="minor"/>
      </rPr>
      <t>max</t>
    </r>
    <r>
      <rPr>
        <sz val="11"/>
        <color theme="1"/>
        <rFont val="Calibri"/>
        <family val="2"/>
        <scheme val="minor"/>
      </rPr>
      <t xml:space="preserve"> = deflection at free end of beam
θ</t>
    </r>
    <r>
      <rPr>
        <vertAlign val="subscript"/>
        <sz val="11"/>
        <color theme="1"/>
        <rFont val="Calibri"/>
        <family val="2"/>
        <scheme val="minor"/>
      </rPr>
      <t>max</t>
    </r>
    <r>
      <rPr>
        <sz val="11"/>
        <color theme="1"/>
        <rFont val="Calibri"/>
        <family val="2"/>
        <scheme val="minor"/>
      </rPr>
      <t xml:space="preserve"> = slope at free end of beam (rad)</t>
    </r>
  </si>
  <si>
    <r>
      <rPr>
        <b/>
        <u/>
        <sz val="12"/>
        <color theme="1"/>
        <rFont val="Calibri"/>
        <family val="2"/>
        <scheme val="minor"/>
      </rPr>
      <t>Metal Pole Deflection</t>
    </r>
    <r>
      <rPr>
        <b/>
        <u/>
        <sz val="11"/>
        <color theme="1"/>
        <rFont val="Calibri"/>
        <family val="2"/>
        <scheme val="minor"/>
      </rPr>
      <t xml:space="preserve">
</t>
    </r>
  </si>
  <si>
    <r>
      <rPr>
        <b/>
        <u/>
        <sz val="12"/>
        <color theme="1"/>
        <rFont val="Calibri"/>
        <family val="2"/>
        <scheme val="minor"/>
      </rPr>
      <t>Pole &amp; Guy Loading:</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Design Criteria</t>
    </r>
    <r>
      <rPr>
        <sz val="11"/>
        <color theme="1"/>
        <rFont val="Calibri"/>
        <family val="2"/>
        <scheme val="minor"/>
      </rPr>
      <t xml:space="preserve">:  This defines the Loading and Pole input data for the design.  Input in this section includes the Loading Zone, Construction Grade, Pole material and Maximum Fiber Stress
</t>
    </r>
    <r>
      <rPr>
        <b/>
        <sz val="11"/>
        <color theme="1"/>
        <rFont val="Calibri"/>
        <family val="2"/>
        <scheme val="minor"/>
      </rPr>
      <t>Pole Data</t>
    </r>
    <r>
      <rPr>
        <sz val="11"/>
        <color theme="1"/>
        <rFont val="Calibri"/>
        <family val="2"/>
        <scheme val="minor"/>
      </rPr>
      <t xml:space="preserve">:  The calculated pole data required many of the subsequent calculations.
</t>
    </r>
    <r>
      <rPr>
        <b/>
        <sz val="11"/>
        <color theme="1"/>
        <rFont val="Calibri"/>
        <family val="2"/>
        <scheme val="minor"/>
      </rPr>
      <t>Transverse Wind Loading</t>
    </r>
    <r>
      <rPr>
        <sz val="11"/>
        <color theme="1"/>
        <rFont val="Calibri"/>
        <family val="2"/>
        <scheme val="minor"/>
      </rPr>
      <t xml:space="preserve">:  Loading calculation on tangent poles based on cross wind loading on the pole and conductors.
</t>
    </r>
    <r>
      <rPr>
        <b/>
        <sz val="11"/>
        <color theme="1"/>
        <rFont val="Calibri"/>
        <family val="2"/>
        <scheme val="minor"/>
      </rPr>
      <t>Maximum Unguyed Span at Line Angle</t>
    </r>
    <r>
      <rPr>
        <sz val="11"/>
        <color theme="1"/>
        <rFont val="Calibri"/>
        <family val="2"/>
        <scheme val="minor"/>
      </rPr>
      <t xml:space="preserve">:  Calculation of maximum span for a given angle without guying.  This is based on the maximum moment that the pole can withstand at the ground line.
</t>
    </r>
    <r>
      <rPr>
        <b/>
        <sz val="11"/>
        <color theme="1"/>
        <rFont val="Calibri"/>
        <family val="2"/>
        <scheme val="minor"/>
      </rPr>
      <t>Insulator Swing</t>
    </r>
    <r>
      <rPr>
        <sz val="11"/>
        <color theme="1"/>
        <rFont val="Calibri"/>
        <family val="2"/>
        <scheme val="minor"/>
      </rPr>
      <t xml:space="preserve">:  Calculation of the maximum line angle limited by reduced clearance from insulator swing.
</t>
    </r>
    <r>
      <rPr>
        <b/>
        <sz val="11"/>
        <color theme="1"/>
        <rFont val="Calibri"/>
        <family val="2"/>
        <scheme val="minor"/>
      </rPr>
      <t>Vertical Loading</t>
    </r>
    <r>
      <rPr>
        <sz val="11"/>
        <color theme="1"/>
        <rFont val="Calibri"/>
        <family val="2"/>
        <scheme val="minor"/>
      </rPr>
      <t xml:space="preserve">:  Calculation of the maximum vertical loading allowed on a pole without buckling based on guy lead.
</t>
    </r>
    <r>
      <rPr>
        <b/>
        <sz val="11"/>
        <color theme="1"/>
        <rFont val="Calibri"/>
        <family val="2"/>
        <scheme val="minor"/>
      </rPr>
      <t>Miscellaneous Transmission Guy</t>
    </r>
    <r>
      <rPr>
        <sz val="11"/>
        <color theme="1"/>
        <rFont val="Calibri"/>
        <family val="2"/>
        <scheme val="minor"/>
      </rPr>
      <t>:  Calculation of guying requirements for poles under design load in various configurations.</t>
    </r>
  </si>
  <si>
    <t>Miscellaneous Distrubution Guying</t>
  </si>
  <si>
    <t>Distribution Loading</t>
  </si>
  <si>
    <t>3/8" hss</t>
  </si>
  <si>
    <t>magnolia</t>
  </si>
  <si>
    <t>Circumference at the Butt</t>
  </si>
  <si>
    <t>Radius at the Butt in Inches</t>
  </si>
  <si>
    <t>CODE WORD</t>
  </si>
  <si>
    <t>AWG
or kcmil</t>
  </si>
  <si>
    <t>Aluminum/ Steel</t>
  </si>
  <si>
    <t>GMR  (Ft.)</t>
  </si>
  <si>
    <t>WAXWING</t>
  </si>
  <si>
    <t>266.8</t>
  </si>
  <si>
    <t>PARTRIDGE</t>
  </si>
  <si>
    <t>MERLIN</t>
  </si>
  <si>
    <t>336.4</t>
  </si>
  <si>
    <t>LINNET</t>
  </si>
  <si>
    <t>ORIOLE</t>
  </si>
  <si>
    <t>CHICKADEE</t>
  </si>
  <si>
    <t>397.5</t>
  </si>
  <si>
    <t>IBIS</t>
  </si>
  <si>
    <t>LARK</t>
  </si>
  <si>
    <t>PELICAN</t>
  </si>
  <si>
    <t>477.0</t>
  </si>
  <si>
    <t>18/1.</t>
  </si>
  <si>
    <t>FLICKER</t>
  </si>
  <si>
    <t>HAWK</t>
  </si>
  <si>
    <t>HEN</t>
  </si>
  <si>
    <t>OSPREY</t>
  </si>
  <si>
    <t>556.5</t>
  </si>
  <si>
    <t>PARAKEET</t>
  </si>
  <si>
    <t>DOVE</t>
  </si>
  <si>
    <t>EAGLE</t>
  </si>
  <si>
    <t>PEACOCK</t>
  </si>
  <si>
    <t>605.0</t>
  </si>
  <si>
    <t>SWIFT</t>
  </si>
  <si>
    <t>636.0</t>
  </si>
  <si>
    <t>KINGBIRD</t>
  </si>
  <si>
    <t>ROOK</t>
  </si>
  <si>
    <t>GROSBEAK</t>
  </si>
  <si>
    <t>EGRET</t>
  </si>
  <si>
    <t>FLAMINGO</t>
  </si>
  <si>
    <t>666.6</t>
  </si>
  <si>
    <t>STARLING</t>
  </si>
  <si>
    <t>715.5</t>
  </si>
  <si>
    <t>REDWING</t>
  </si>
  <si>
    <t>COOT</t>
  </si>
  <si>
    <t>795.0</t>
  </si>
  <si>
    <t>TERN</t>
  </si>
  <si>
    <t>CUCKOO</t>
  </si>
  <si>
    <t>CONDOR</t>
  </si>
  <si>
    <t>DRAKE</t>
  </si>
  <si>
    <t>MALLARD</t>
  </si>
  <si>
    <t>RUDDY</t>
  </si>
  <si>
    <t>900.0</t>
  </si>
  <si>
    <t>CANARY</t>
  </si>
  <si>
    <t>CORNCRAKE</t>
  </si>
  <si>
    <t>954.0</t>
  </si>
  <si>
    <t>20/7</t>
  </si>
  <si>
    <t>REDBIRD</t>
  </si>
  <si>
    <t>TOWHEE</t>
  </si>
  <si>
    <t>48/7</t>
  </si>
  <si>
    <t>RAIL</t>
  </si>
  <si>
    <t>CARDINAL</t>
  </si>
  <si>
    <t>ORTOLAN</t>
  </si>
  <si>
    <t>1033.5</t>
  </si>
  <si>
    <t>CURLEW</t>
  </si>
  <si>
    <t>BLUEJAY</t>
  </si>
  <si>
    <t>1113.0</t>
  </si>
  <si>
    <t>FINCH</t>
  </si>
  <si>
    <t>BUNTING</t>
  </si>
  <si>
    <t>1192.5</t>
  </si>
  <si>
    <t>GRACKLE</t>
  </si>
  <si>
    <t>SKYLARK</t>
  </si>
  <si>
    <t>1272.0</t>
  </si>
  <si>
    <t>BITTERN</t>
  </si>
  <si>
    <t>PHEASANT</t>
  </si>
  <si>
    <t>DIPPER</t>
  </si>
  <si>
    <t>1351.5</t>
  </si>
  <si>
    <t>MARTIN</t>
  </si>
  <si>
    <t>BOBOLINK</t>
  </si>
  <si>
    <t>1431.0</t>
  </si>
  <si>
    <t>PLOVER</t>
  </si>
  <si>
    <t>LAPWING</t>
  </si>
  <si>
    <t>1590.0</t>
  </si>
  <si>
    <t>FALCON</t>
  </si>
  <si>
    <t>CHUKAR</t>
  </si>
  <si>
    <t>1780.0</t>
  </si>
  <si>
    <t>MOCKINGBIRD</t>
  </si>
  <si>
    <t>2034.5</t>
  </si>
  <si>
    <t>BLUEBIRD</t>
  </si>
  <si>
    <t>2156.0</t>
  </si>
  <si>
    <t>KIWI</t>
  </si>
  <si>
    <t>2167.0</t>
  </si>
  <si>
    <t>THRASHER</t>
  </si>
  <si>
    <t>2312.0</t>
  </si>
  <si>
    <t>76/19</t>
  </si>
  <si>
    <t>JOREA</t>
  </si>
  <si>
    <t>2515.0</t>
  </si>
  <si>
    <t>FLICKER/TW</t>
  </si>
  <si>
    <t>18/7</t>
  </si>
  <si>
    <t>HAWK/TW</t>
  </si>
  <si>
    <t>PARAKEET/TW</t>
  </si>
  <si>
    <t>DOVE/TW</t>
  </si>
  <si>
    <t>ROOK/TW</t>
  </si>
  <si>
    <t>GROSBEAK/TW</t>
  </si>
  <si>
    <t>TERN/TW</t>
  </si>
  <si>
    <t>17/7</t>
  </si>
  <si>
    <t>PUFFIN/TW</t>
  </si>
  <si>
    <t>CONDOR/TW</t>
  </si>
  <si>
    <t>DRAKE/TW</t>
  </si>
  <si>
    <t>PHOENIX/TW</t>
  </si>
  <si>
    <t>RAIL/TW</t>
  </si>
  <si>
    <t>32/7</t>
  </si>
  <si>
    <t>CARDINAL/TW</t>
  </si>
  <si>
    <t>SNOWBIRD/TW</t>
  </si>
  <si>
    <t>ORTOLAN/TW</t>
  </si>
  <si>
    <t>CURLEW/TW</t>
  </si>
  <si>
    <t>21/7</t>
  </si>
  <si>
    <t>AVOCET/TW</t>
  </si>
  <si>
    <t>BLUEJAY/TW</t>
  </si>
  <si>
    <t>33/7</t>
  </si>
  <si>
    <t>FINCH/TW</t>
  </si>
  <si>
    <t>38/19</t>
  </si>
  <si>
    <t>OXBIRD/TW</t>
  </si>
  <si>
    <t>BUNTING/TW</t>
  </si>
  <si>
    <t>GRACKLE/TW</t>
  </si>
  <si>
    <t>SCISSORTAIL/TW</t>
  </si>
  <si>
    <t>BITTERN/TW</t>
  </si>
  <si>
    <t>35/7</t>
  </si>
  <si>
    <t>PHEASANT/TW</t>
  </si>
  <si>
    <t>39/19</t>
  </si>
  <si>
    <t>DIPPER/TW</t>
  </si>
  <si>
    <t>MARTIN/TW</t>
  </si>
  <si>
    <t>BOBOLINK/TW</t>
  </si>
  <si>
    <t>36/7</t>
  </si>
  <si>
    <t>PLOVER/TW</t>
  </si>
  <si>
    <t>LAPWING/TW</t>
  </si>
  <si>
    <t>FALCON/TW</t>
  </si>
  <si>
    <t>42/19</t>
  </si>
  <si>
    <t>CHUKAR/TW</t>
  </si>
  <si>
    <t>37/19</t>
  </si>
  <si>
    <t>BLUEBIRD/TW</t>
  </si>
  <si>
    <t>64/19</t>
  </si>
  <si>
    <t>MOHAWK/TW</t>
  </si>
  <si>
    <t>571.7</t>
  </si>
  <si>
    <t>CALUMET/TW</t>
  </si>
  <si>
    <t>565.3</t>
  </si>
  <si>
    <t>MYSTIC/TW</t>
  </si>
  <si>
    <t>OSWEGO/TW</t>
  </si>
  <si>
    <t>664.8</t>
  </si>
  <si>
    <t>MAUMEE/TW</t>
  </si>
  <si>
    <t>768.2</t>
  </si>
  <si>
    <t>WABASH/TW</t>
  </si>
  <si>
    <t>762.8</t>
  </si>
  <si>
    <t>KETTLE/TW</t>
  </si>
  <si>
    <t>957.2</t>
  </si>
  <si>
    <t>FRASER/TW</t>
  </si>
  <si>
    <t>946.7</t>
  </si>
  <si>
    <t>COLUMBIA/TW</t>
  </si>
  <si>
    <t>966.2</t>
  </si>
  <si>
    <t>SUWANNEE/TW</t>
  </si>
  <si>
    <t>959.6</t>
  </si>
  <si>
    <t>22/7</t>
  </si>
  <si>
    <t>CHEYENNE/TW</t>
  </si>
  <si>
    <t>1168.1</t>
  </si>
  <si>
    <t>GENESSEE/TW</t>
  </si>
  <si>
    <t>1158.0</t>
  </si>
  <si>
    <t>HUDSON/TW</t>
  </si>
  <si>
    <t>1158.4</t>
  </si>
  <si>
    <t>25/7</t>
  </si>
  <si>
    <t>CATAWBA/TW</t>
  </si>
  <si>
    <t>NELSON/TW</t>
  </si>
  <si>
    <t>1257.1</t>
  </si>
  <si>
    <t>YUKON/TW</t>
  </si>
  <si>
    <t>1233.6</t>
  </si>
  <si>
    <t>TRUCKEE/TW</t>
  </si>
  <si>
    <t>1372.5</t>
  </si>
  <si>
    <t>MACKENZIE/TW</t>
  </si>
  <si>
    <t>1359.7</t>
  </si>
  <si>
    <t>THAMES/TW</t>
  </si>
  <si>
    <t>1334.6</t>
  </si>
  <si>
    <t>ST.  CROIX/TW</t>
  </si>
  <si>
    <t>1467.8</t>
  </si>
  <si>
    <t>MIRAMICHI/TW</t>
  </si>
  <si>
    <t>1455.3</t>
  </si>
  <si>
    <t>MERRIMACK/TW</t>
  </si>
  <si>
    <t>1433.6</t>
  </si>
  <si>
    <t>PLATTE/TW</t>
  </si>
  <si>
    <t>1569.0</t>
  </si>
  <si>
    <t>POTOMAC/TW</t>
  </si>
  <si>
    <t>1557.4</t>
  </si>
  <si>
    <t>RIO  GRANDE/TW</t>
  </si>
  <si>
    <t>1533.3</t>
  </si>
  <si>
    <t>SCHUYLKILL/TW</t>
  </si>
  <si>
    <t>1657.4</t>
  </si>
  <si>
    <t>PECOS/TW</t>
  </si>
  <si>
    <t>1622.0</t>
  </si>
  <si>
    <t>PEE  DEE/TW</t>
  </si>
  <si>
    <t>1758.6</t>
  </si>
  <si>
    <t>37/7</t>
  </si>
  <si>
    <t>JAMES/TW</t>
  </si>
  <si>
    <t>1730.6</t>
  </si>
  <si>
    <t>ATHABASKA/TW</t>
  </si>
  <si>
    <t>1949.6</t>
  </si>
  <si>
    <t>42/7</t>
  </si>
  <si>
    <t>CUMBERLAND/TW</t>
  </si>
  <si>
    <t>1926.9</t>
  </si>
  <si>
    <t>POWDER/TW</t>
  </si>
  <si>
    <t>2153.8</t>
  </si>
  <si>
    <t>SANTEE/TW</t>
  </si>
  <si>
    <t>2627.3</t>
  </si>
  <si>
    <t>PARTRIDGE/ACSS</t>
  </si>
  <si>
    <t>LINNET/ACSS</t>
  </si>
  <si>
    <t>ORIOLE/ACSS</t>
  </si>
  <si>
    <t>IBIS/ACSS</t>
  </si>
  <si>
    <t>LARK/ACSS</t>
  </si>
  <si>
    <t>FLICKER/ACSS</t>
  </si>
  <si>
    <t>477</t>
  </si>
  <si>
    <t>HAWK/ACSS</t>
  </si>
  <si>
    <t>HEN/ACSS</t>
  </si>
  <si>
    <t>PARAKEET/ACSS</t>
  </si>
  <si>
    <t>DOVE/ACSS</t>
  </si>
  <si>
    <t>EAGLE/ACSS</t>
  </si>
  <si>
    <t>PEACOCK/ACSS</t>
  </si>
  <si>
    <t>605</t>
  </si>
  <si>
    <t>ROOK/ACSS</t>
  </si>
  <si>
    <t>636</t>
  </si>
  <si>
    <t>GROSBEAK/ACSS</t>
  </si>
  <si>
    <t>EGRET/ACSS</t>
  </si>
  <si>
    <t>FLAMINGO/ACSS</t>
  </si>
  <si>
    <t>STARLING/ACSS</t>
  </si>
  <si>
    <t>REDWING/ACSS</t>
  </si>
  <si>
    <t>TERN/ACSS</t>
  </si>
  <si>
    <t>795</t>
  </si>
  <si>
    <t>CUCKOO/ACSS</t>
  </si>
  <si>
    <t>CONDOR/ACSS</t>
  </si>
  <si>
    <t>DRAKE/ACSS</t>
  </si>
  <si>
    <t>MALLARD/ACSS</t>
  </si>
  <si>
    <t>RUDDY/ACSS</t>
  </si>
  <si>
    <t>900</t>
  </si>
  <si>
    <t>CANARY/ACSS</t>
  </si>
  <si>
    <t>RAIL/ACSS</t>
  </si>
  <si>
    <t>954</t>
  </si>
  <si>
    <t>CARDINAL/ACSS</t>
  </si>
  <si>
    <t>ORTOLAN/ACSS</t>
  </si>
  <si>
    <t>CURLEW/ACSS</t>
  </si>
  <si>
    <t>BLUEJAY/ACSS</t>
  </si>
  <si>
    <t>1113</t>
  </si>
  <si>
    <t>FINCH/ACSS</t>
  </si>
  <si>
    <t>BUNTING/ACSS</t>
  </si>
  <si>
    <t>GRACKLE/ACSS</t>
  </si>
  <si>
    <t>BITTERN/ACSS</t>
  </si>
  <si>
    <t>1272</t>
  </si>
  <si>
    <t>PHEASANT/ACSS</t>
  </si>
  <si>
    <t>DIPPER/ACSS</t>
  </si>
  <si>
    <t>MARTIN/ACSS</t>
  </si>
  <si>
    <t>1431</t>
  </si>
  <si>
    <t>BOBOLINK/ACSS</t>
  </si>
  <si>
    <t>PLOVER/ACSS</t>
  </si>
  <si>
    <t>1590</t>
  </si>
  <si>
    <t>LAPWING/ACSS</t>
  </si>
  <si>
    <t>FALCON/ACSS</t>
  </si>
  <si>
    <t>CHUKAR/ACSS</t>
  </si>
  <si>
    <t>1780</t>
  </si>
  <si>
    <t>BLUEBIRD/ACSS</t>
  </si>
  <si>
    <t>2156</t>
  </si>
  <si>
    <t>KIWI/ACSS</t>
  </si>
  <si>
    <t>2167</t>
  </si>
  <si>
    <t>THRASHER/ACSS</t>
  </si>
  <si>
    <t>2312</t>
  </si>
  <si>
    <t>FLICKER/ACSS/TW</t>
  </si>
  <si>
    <t>HAWK/ACSS/TW</t>
  </si>
  <si>
    <t>PARAKEET/ACSS/TW</t>
  </si>
  <si>
    <t>DOVE/ACSS/TW</t>
  </si>
  <si>
    <t>ROOK/ACSS/TW</t>
  </si>
  <si>
    <t>GROSBEAK/ACSS/TW</t>
  </si>
  <si>
    <t>TERN/ACSS/TW</t>
  </si>
  <si>
    <t>PUFFIN/ACSS/TW</t>
  </si>
  <si>
    <t>CONDOR/ACSS/TW</t>
  </si>
  <si>
    <t>DRAKE/ACSS/TW</t>
  </si>
  <si>
    <t>PHOENIX/ACSS/TW</t>
  </si>
  <si>
    <t>RAIL/ACSS/TW</t>
  </si>
  <si>
    <t>CARDINAL/ACSS/TW</t>
  </si>
  <si>
    <t>SNOWBIRD/ACSS/TW</t>
  </si>
  <si>
    <t>ORTOLAN/ACSS/TW</t>
  </si>
  <si>
    <t>CURLEW/ACSS/TW</t>
  </si>
  <si>
    <t>AVOCET/ACSS/TW</t>
  </si>
  <si>
    <t>BLUEJAY/ACSS/TW</t>
  </si>
  <si>
    <t>FINCH/ACSS/TW</t>
  </si>
  <si>
    <t>OXBIRD/ACSS/TW</t>
  </si>
  <si>
    <t>BUNTING/ACSS/TW</t>
  </si>
  <si>
    <t>GRACKLE/ACSS/TW</t>
  </si>
  <si>
    <t>SCISSORTAIL/ACSS/TW</t>
  </si>
  <si>
    <t>BITTERN/ACSS/TW</t>
  </si>
  <si>
    <t>PHEASANT/ACSS/TW</t>
  </si>
  <si>
    <t>DIPPER/ACSS/TW</t>
  </si>
  <si>
    <t>MARTIN/ACSS/TW</t>
  </si>
  <si>
    <t>BOBOLINK/ACSS/TW</t>
  </si>
  <si>
    <t>PLOVER/ACSS/TW</t>
  </si>
  <si>
    <t>LAPWING/ACSS/TW</t>
  </si>
  <si>
    <t>FALCON/ACSS/TW</t>
  </si>
  <si>
    <t>CHUKAR/ACSS/TW</t>
  </si>
  <si>
    <t>BLUEBIRD/ACSS/TW</t>
  </si>
  <si>
    <t>MOHAWK/ACSS/TW</t>
  </si>
  <si>
    <t>CALUMET/ACSS/TW</t>
  </si>
  <si>
    <t>MYSTIC/ACSS/TW</t>
  </si>
  <si>
    <t>OSWEGO/ACSS/TW</t>
  </si>
  <si>
    <t>WABASH/ACSS/TW</t>
  </si>
  <si>
    <t>KETTLE/ACSS/TW</t>
  </si>
  <si>
    <t>MAUMEE/ACSS/TW</t>
  </si>
  <si>
    <t>FRASER/ACSS/TW</t>
  </si>
  <si>
    <t>COLUMBIA/ACSS/TW</t>
  </si>
  <si>
    <t>SUWANNEE/ACSS/TW</t>
  </si>
  <si>
    <t>CHEYENNE/ACSS/TW</t>
  </si>
  <si>
    <t>GENESSEE/ACSS/TW</t>
  </si>
  <si>
    <t>HUDSON/ACSS/TW</t>
  </si>
  <si>
    <t>CATAWBA/ACSS/TW</t>
  </si>
  <si>
    <t>NELSON/ACSS/TW</t>
  </si>
  <si>
    <t>YUKON/ACSS/TW</t>
  </si>
  <si>
    <t>TRUCKEE/ACSS/TW</t>
  </si>
  <si>
    <t>MACKENZIE/ACSS/TW</t>
  </si>
  <si>
    <t>THAMES/ACSS/TW</t>
  </si>
  <si>
    <t>ST.  CROIX/ACSS/TW</t>
  </si>
  <si>
    <t>MIRAMICHI/ACSS/TW</t>
  </si>
  <si>
    <t>MERRIMACK/ACSS/TW</t>
  </si>
  <si>
    <t>PLATTE/ACSS/TW</t>
  </si>
  <si>
    <t>POTOMAC/ACSS/TW</t>
  </si>
  <si>
    <t>RIO  GRANDE/ACSS/TW</t>
  </si>
  <si>
    <t>SCHUYLKILL/ACSS/TW</t>
  </si>
  <si>
    <t>PECOS/ACSS/TW</t>
  </si>
  <si>
    <t>PEE  DEE/ACSS/TW</t>
  </si>
  <si>
    <t>JAMES/ACSS/TW</t>
  </si>
  <si>
    <t>ATHABASKA/ACSS/TW</t>
  </si>
  <si>
    <t>CUMBERLAND/ACSS/TW</t>
  </si>
  <si>
    <t>POWDER/ACSS/TW</t>
  </si>
  <si>
    <t>SANTEE/ACSS/TW</t>
  </si>
  <si>
    <t>PEACHBELL</t>
  </si>
  <si>
    <t>6</t>
  </si>
  <si>
    <t>7</t>
  </si>
  <si>
    <t>ROSE</t>
  </si>
  <si>
    <t>IRIS</t>
  </si>
  <si>
    <t>PANSY</t>
  </si>
  <si>
    <t>POPPY</t>
  </si>
  <si>
    <t>ASTER</t>
  </si>
  <si>
    <t>PHLOX</t>
  </si>
  <si>
    <t>OXLIP</t>
  </si>
  <si>
    <t>SNEEZEWORT</t>
  </si>
  <si>
    <t>250.0</t>
  </si>
  <si>
    <t>VALERIAN</t>
  </si>
  <si>
    <t>19</t>
  </si>
  <si>
    <t>DAISY</t>
  </si>
  <si>
    <t>LAUREL</t>
  </si>
  <si>
    <t>PEONY</t>
  </si>
  <si>
    <t>300.0</t>
  </si>
  <si>
    <t>TULIP</t>
  </si>
  <si>
    <t>DAFFODIL</t>
  </si>
  <si>
    <t>350.0</t>
  </si>
  <si>
    <t>CANNA</t>
  </si>
  <si>
    <t>GOLDENTUFT</t>
  </si>
  <si>
    <t>450.0</t>
  </si>
  <si>
    <t>COSMOS</t>
  </si>
  <si>
    <t>SYRINGA</t>
  </si>
  <si>
    <t>37</t>
  </si>
  <si>
    <t>ZINNIA</t>
  </si>
  <si>
    <t>500.0</t>
  </si>
  <si>
    <t>DAHLIA</t>
  </si>
  <si>
    <t>MISTLETOE</t>
  </si>
  <si>
    <t>MEADOWSWEET</t>
  </si>
  <si>
    <t>600.0</t>
  </si>
  <si>
    <t>ORCHID</t>
  </si>
  <si>
    <t>HEUCHERA</t>
  </si>
  <si>
    <t>650.0</t>
  </si>
  <si>
    <t>VERBENA</t>
  </si>
  <si>
    <t>700.0</t>
  </si>
  <si>
    <t>VIOLET</t>
  </si>
  <si>
    <t>NASTURTIUM</t>
  </si>
  <si>
    <t>61</t>
  </si>
  <si>
    <t>PETUNIA</t>
  </si>
  <si>
    <t>750.0</t>
  </si>
  <si>
    <t>ARBUTUS</t>
  </si>
  <si>
    <t>LILAC</t>
  </si>
  <si>
    <t>COCKSCOMB</t>
  </si>
  <si>
    <t>MAGNOLIA</t>
  </si>
  <si>
    <t>GOLDENROD</t>
  </si>
  <si>
    <t>HAWKWEED</t>
  </si>
  <si>
    <t>1000.0</t>
  </si>
  <si>
    <t>BLUEBELL</t>
  </si>
  <si>
    <t>LARKSPUR</t>
  </si>
  <si>
    <t>MARIGOLD</t>
  </si>
  <si>
    <t>HAWTHORN</t>
  </si>
  <si>
    <t>NARCISSUS</t>
  </si>
  <si>
    <t>COLUMBINE</t>
  </si>
  <si>
    <t>CARNATION</t>
  </si>
  <si>
    <t>COREOPSIS</t>
  </si>
  <si>
    <t>JESSAMINE</t>
  </si>
  <si>
    <t>1750.0</t>
  </si>
  <si>
    <t>COWSLIP</t>
  </si>
  <si>
    <t>2000.0</t>
  </si>
  <si>
    <t>91</t>
  </si>
  <si>
    <t>LUPINE</t>
  </si>
  <si>
    <t>2500.0</t>
  </si>
  <si>
    <t>TRILLIUM</t>
  </si>
  <si>
    <t>3000.0</t>
  </si>
  <si>
    <t>127</t>
  </si>
  <si>
    <t>BLUEBONNET</t>
  </si>
  <si>
    <t>3500.0</t>
  </si>
  <si>
    <t>AKRON</t>
  </si>
  <si>
    <t>30.58</t>
  </si>
  <si>
    <t>ALTON</t>
  </si>
  <si>
    <t>48.69</t>
  </si>
  <si>
    <t>AMES</t>
  </si>
  <si>
    <t>77.47</t>
  </si>
  <si>
    <t>AZUSA</t>
  </si>
  <si>
    <t>123.3</t>
  </si>
  <si>
    <t>ANAHEIM</t>
  </si>
  <si>
    <t>155.4</t>
  </si>
  <si>
    <t>AMHERST</t>
  </si>
  <si>
    <t>195.7</t>
  </si>
  <si>
    <t>ALLIANCE</t>
  </si>
  <si>
    <t>246.9</t>
  </si>
  <si>
    <t>BUTTE</t>
  </si>
  <si>
    <t>312.8</t>
  </si>
  <si>
    <t>CANTON</t>
  </si>
  <si>
    <t>394.5</t>
  </si>
  <si>
    <t>CAIRO</t>
  </si>
  <si>
    <t>465.4</t>
  </si>
  <si>
    <t>DARIEN</t>
  </si>
  <si>
    <t>559.5</t>
  </si>
  <si>
    <t>ELGIN</t>
  </si>
  <si>
    <t>652.4</t>
  </si>
  <si>
    <t>FLINT</t>
  </si>
  <si>
    <t>740.8</t>
  </si>
  <si>
    <t>GREELEY</t>
  </si>
  <si>
    <t>927.2</t>
  </si>
  <si>
    <t>TITMOUSE/SD</t>
  </si>
  <si>
    <t>EIDER/SD</t>
  </si>
  <si>
    <t>SPOONBILL/SD</t>
  </si>
  <si>
    <t>10</t>
  </si>
  <si>
    <t>268.8</t>
  </si>
  <si>
    <t>PARTRIDGE/SD</t>
  </si>
  <si>
    <t>16</t>
  </si>
  <si>
    <t>COWBIRD/SD</t>
  </si>
  <si>
    <t>HUMMINGBIRD/SD</t>
  </si>
  <si>
    <t>WOODCOCK/SD</t>
  </si>
  <si>
    <t>LINNET/SD</t>
  </si>
  <si>
    <t>ERNE/SD</t>
  </si>
  <si>
    <t>LONGSPUR/SD</t>
  </si>
  <si>
    <t>STORK/SD</t>
  </si>
  <si>
    <t>IBIS/SD</t>
  </si>
  <si>
    <t>KESTREL/SD</t>
  </si>
  <si>
    <t>JACKDAW/SD</t>
  </si>
  <si>
    <t>TOUCAN/SD</t>
  </si>
  <si>
    <t>FLICKER/SD</t>
  </si>
  <si>
    <t>13</t>
  </si>
  <si>
    <t>HAWK/SD</t>
  </si>
  <si>
    <t>BLACKBIRD</t>
  </si>
  <si>
    <t>SUNBIRD/SD</t>
  </si>
  <si>
    <t>SAPSUCKER/SD</t>
  </si>
  <si>
    <t>PARAKEET/SD</t>
  </si>
  <si>
    <t>DOVE/SD</t>
  </si>
  <si>
    <t>PIPPIT/SD</t>
  </si>
  <si>
    <t>KILLDEER/SD</t>
  </si>
  <si>
    <t>GOLDFINCH/SD</t>
  </si>
  <si>
    <t>ROOK/SD</t>
  </si>
  <si>
    <t>GROSBEAK/SD</t>
  </si>
  <si>
    <t>MACAW/SD</t>
  </si>
  <si>
    <t>TERN/SD</t>
  </si>
  <si>
    <t>PUFFIN/SD</t>
  </si>
  <si>
    <t>CONDOR/SD</t>
  </si>
  <si>
    <t>DRAKE/SD</t>
  </si>
  <si>
    <t>PHOENIX/SD</t>
  </si>
  <si>
    <t>RAIL/SD</t>
  </si>
  <si>
    <t>CARDINAL/SD</t>
  </si>
  <si>
    <t>SNOWBIRD/SD</t>
  </si>
  <si>
    <t>ORTOLAN/SD</t>
  </si>
  <si>
    <t>CURLEW/SD</t>
  </si>
  <si>
    <t>AVOCET/SD</t>
  </si>
  <si>
    <t>BLUEJAY/SD</t>
  </si>
  <si>
    <t>FINCH/SD</t>
  </si>
  <si>
    <t>OXBIRD/SD</t>
  </si>
  <si>
    <t>BUNTING/SD</t>
  </si>
  <si>
    <t>GRACKLE/SD</t>
  </si>
  <si>
    <t>SCISSORTAIL/SD</t>
  </si>
  <si>
    <t>BITTERN/SD</t>
  </si>
  <si>
    <t>PHEASANT/SD</t>
  </si>
  <si>
    <t>RINGDOVE/SD</t>
  </si>
  <si>
    <t>DIPPER/SD</t>
  </si>
  <si>
    <t>FRIGATE/SD</t>
  </si>
  <si>
    <t>MARTIN/SD</t>
  </si>
  <si>
    <t>POPINJAY/SD</t>
  </si>
  <si>
    <t>BOBOLINK/SD</t>
  </si>
  <si>
    <t>PLOVER/SD</t>
  </si>
  <si>
    <t>RATITE/SD</t>
  </si>
  <si>
    <t>LAPWING/SD</t>
  </si>
  <si>
    <t>FALCON/SD</t>
  </si>
  <si>
    <t>SMEW/SD</t>
  </si>
  <si>
    <t>CHUKAR/SD</t>
  </si>
  <si>
    <t>8</t>
  </si>
  <si>
    <t>COCKATOO/SD</t>
  </si>
  <si>
    <t>BLUEBIRD/SD</t>
  </si>
  <si>
    <t>KIWI/SD</t>
  </si>
  <si>
    <t>GMR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</si>
</sst>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0"/>
    <numFmt numFmtId="165" formatCode="_(* #,##0_);_(* \(#,##0\);_(* &quot;-&quot;??_);_(@_)"/>
    <numFmt numFmtId="166" formatCode="0.0"/>
    <numFmt numFmtId="167" formatCode="#,##0.0"/>
    <numFmt numFmtId="168" formatCode="0.000"/>
    <numFmt numFmtId="169" formatCode="0.00000"/>
  </numFmts>
  <fonts count="25" x14ac:knownFonts="1">
    <font>
      <sz val="11"/>
      <color theme="1"/>
      <name val="Calibri"/>
      <family val="2"/>
      <scheme val="minor"/>
    </font>
    <font>
      <sz val="11"/>
      <name val="Calibri"/>
      <family val="2"/>
    </font>
    <font>
      <sz val="8"/>
      <name val="Calibri"/>
      <family val="2"/>
    </font>
    <font>
      <sz val="10"/>
      <name val="Helv"/>
    </font>
    <font>
      <sz val="11"/>
      <color theme="1"/>
      <name val="Calibri"/>
      <family val="2"/>
      <scheme val="minor"/>
    </font>
    <font>
      <sz val="11"/>
      <name val="Calibri"/>
      <family val="2"/>
      <scheme val="minor"/>
    </font>
    <font>
      <sz val="12"/>
      <color indexed="8"/>
      <name val="Calibri"/>
      <family val="2"/>
      <scheme val="minor"/>
    </font>
    <font>
      <sz val="11"/>
      <color rgb="FF006100"/>
      <name val="Calibri"/>
      <family val="2"/>
      <scheme val="minor"/>
    </font>
    <font>
      <b/>
      <sz val="12"/>
      <color theme="1"/>
      <name val="Arial"/>
      <family val="2"/>
    </font>
    <font>
      <sz val="12"/>
      <color theme="1"/>
      <name val="Arial"/>
      <family val="2"/>
    </font>
    <font>
      <sz val="11"/>
      <color theme="1"/>
      <name val="Calibri"/>
      <family val="2"/>
    </font>
    <font>
      <sz val="16"/>
      <color theme="1"/>
      <name val="Calibri"/>
      <family val="2"/>
      <scheme val="minor"/>
    </font>
    <font>
      <sz val="24"/>
      <color theme="1"/>
      <name val="Calibri"/>
      <family val="2"/>
      <scheme val="minor"/>
    </font>
    <font>
      <b/>
      <sz val="11"/>
      <color theme="1"/>
      <name val="Calibri"/>
      <family val="2"/>
      <scheme val="minor"/>
    </font>
    <font>
      <vertAlign val="superscript"/>
      <sz val="12"/>
      <color theme="1"/>
      <name val="Calibri"/>
      <family val="2"/>
      <scheme val="minor"/>
    </font>
    <font>
      <b/>
      <sz val="14"/>
      <color theme="1"/>
      <name val="Calibri"/>
      <family val="2"/>
      <scheme val="minor"/>
    </font>
    <font>
      <b/>
      <sz val="18"/>
      <color theme="1"/>
      <name val="Calibri"/>
      <family val="2"/>
      <scheme val="minor"/>
    </font>
    <font>
      <sz val="11"/>
      <color rgb="FFFF0000"/>
      <name val="Calibri"/>
      <family val="2"/>
      <scheme val="minor"/>
    </font>
    <font>
      <b/>
      <sz val="16"/>
      <color theme="1"/>
      <name val="Calibri"/>
      <family val="2"/>
      <scheme val="minor"/>
    </font>
    <font>
      <b/>
      <sz val="14"/>
      <name val="Calibri"/>
      <family val="2"/>
      <scheme val="minor"/>
    </font>
    <font>
      <vertAlign val="subscript"/>
      <sz val="11"/>
      <color theme="1"/>
      <name val="Calibri"/>
      <family val="2"/>
      <scheme val="minor"/>
    </font>
    <font>
      <i/>
      <sz val="8"/>
      <color theme="1"/>
      <name val="Calibri"/>
      <family val="2"/>
      <scheme val="minor"/>
    </font>
    <font>
      <sz val="11"/>
      <color theme="0" tint="-0.249977111117893"/>
      <name val="Calibri"/>
      <family val="2"/>
      <scheme val="minor"/>
    </font>
    <font>
      <b/>
      <u/>
      <sz val="11"/>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rgb="FFFFFF00"/>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bottom style="thick">
        <color auto="1"/>
      </bottom>
      <diagonal/>
    </border>
    <border>
      <left/>
      <right/>
      <top style="thick">
        <color auto="1"/>
      </top>
      <bottom/>
      <diagonal/>
    </border>
    <border>
      <left/>
      <right style="thin">
        <color indexed="64"/>
      </right>
      <top/>
      <bottom/>
      <diagonal/>
    </border>
    <border>
      <left/>
      <right style="thin">
        <color indexed="64"/>
      </right>
      <top/>
      <bottom style="thick">
        <color auto="1"/>
      </bottom>
      <diagonal/>
    </border>
    <border>
      <left/>
      <right style="thin">
        <color indexed="64"/>
      </right>
      <top style="thick">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ck">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43" fontId="4" fillId="0" borderId="0" applyFont="0" applyFill="0" applyBorder="0" applyAlignment="0" applyProtection="0"/>
    <xf numFmtId="0" fontId="7" fillId="2" borderId="0" applyNumberFormat="0" applyBorder="0" applyAlignment="0" applyProtection="0"/>
  </cellStyleXfs>
  <cellXfs count="263">
    <xf numFmtId="0" fontId="0" fillId="0" borderId="0" xfId="0"/>
    <xf numFmtId="2" fontId="0" fillId="0" borderId="0" xfId="0" applyNumberFormat="1"/>
    <xf numFmtId="0" fontId="0" fillId="0" borderId="0" xfId="0" applyAlignment="1">
      <alignment horizontal="right"/>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xf>
    <xf numFmtId="0" fontId="1"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0" fontId="0" fillId="0" borderId="0" xfId="0" applyFill="1" applyAlignment="1">
      <alignment horizontal="center"/>
    </xf>
    <xf numFmtId="0" fontId="0" fillId="0" borderId="0" xfId="0" applyFill="1"/>
    <xf numFmtId="49" fontId="1" fillId="0" borderId="0" xfId="0" applyNumberFormat="1" applyFont="1" applyFill="1" applyBorder="1" applyAlignment="1" applyProtection="1">
      <alignment horizontal="center"/>
    </xf>
    <xf numFmtId="164" fontId="0" fillId="0" borderId="0" xfId="0" applyNumberFormat="1"/>
    <xf numFmtId="1" fontId="0" fillId="0" borderId="0" xfId="0" applyNumberFormat="1"/>
    <xf numFmtId="0" fontId="0" fillId="0" borderId="0" xfId="0" quotePrefix="1"/>
    <xf numFmtId="0" fontId="5" fillId="0" borderId="0" xfId="1" applyNumberFormat="1" applyFont="1" applyFill="1" applyAlignment="1">
      <alignment horizontal="left" vertical="center" wrapText="1"/>
    </xf>
    <xf numFmtId="0" fontId="4" fillId="0" borderId="0" xfId="0" applyNumberFormat="1" applyFont="1"/>
    <xf numFmtId="0" fontId="5" fillId="0" borderId="0" xfId="0" applyNumberFormat="1" applyFont="1" applyFill="1" applyBorder="1" applyAlignment="1" applyProtection="1"/>
    <xf numFmtId="165" fontId="5" fillId="0" borderId="0" xfId="2" applyNumberFormat="1" applyFont="1" applyFill="1" applyBorder="1" applyAlignment="1" applyProtection="1">
      <alignment horizontal="center"/>
    </xf>
    <xf numFmtId="165" fontId="0" fillId="0" borderId="0" xfId="2" applyNumberFormat="1" applyFont="1" applyFill="1" applyAlignment="1">
      <alignment horizontal="center"/>
    </xf>
    <xf numFmtId="165" fontId="0" fillId="0" borderId="0" xfId="2" applyNumberFormat="1" applyFont="1" applyAlignment="1">
      <alignment horizontal="center"/>
    </xf>
    <xf numFmtId="37" fontId="5" fillId="0" borderId="0" xfId="2" applyNumberFormat="1" applyFont="1" applyFill="1" applyBorder="1" applyAlignment="1" applyProtection="1">
      <alignment horizontal="center"/>
    </xf>
    <xf numFmtId="165" fontId="6" fillId="0" borderId="0" xfId="2" applyNumberFormat="1" applyFont="1" applyFill="1" applyBorder="1" applyAlignment="1" applyProtection="1">
      <alignment horizontal="center" wrapText="1"/>
    </xf>
    <xf numFmtId="165" fontId="0" fillId="0" borderId="0" xfId="2" applyNumberFormat="1" applyFont="1"/>
    <xf numFmtId="0" fontId="0" fillId="0" borderId="0" xfId="0" applyAlignment="1">
      <alignment horizontal="right" wrapText="1"/>
    </xf>
    <xf numFmtId="2" fontId="0" fillId="0" borderId="0" xfId="0" quotePrefix="1" applyNumberFormat="1"/>
    <xf numFmtId="0" fontId="0" fillId="0" borderId="0" xfId="0" applyAlignment="1">
      <alignment horizontal="center"/>
    </xf>
    <xf numFmtId="0" fontId="0" fillId="0" borderId="0" xfId="0" applyAlignment="1"/>
    <xf numFmtId="16" fontId="0" fillId="0" borderId="0" xfId="0" applyNumberFormat="1"/>
    <xf numFmtId="17" fontId="0" fillId="0" borderId="0" xfId="0" applyNumberFormat="1"/>
    <xf numFmtId="0" fontId="0" fillId="0" borderId="0" xfId="2" applyNumberFormat="1" applyFont="1"/>
    <xf numFmtId="43" fontId="0" fillId="0" borderId="0" xfId="0" applyNumberFormat="1"/>
    <xf numFmtId="43" fontId="0" fillId="0" borderId="0" xfId="0" quotePrefix="1" applyNumberFormat="1" applyAlignment="1">
      <alignment horizontal="right"/>
    </xf>
    <xf numFmtId="0" fontId="0" fillId="0" borderId="0" xfId="0" applyAlignment="1">
      <alignment horizontal="center"/>
    </xf>
    <xf numFmtId="0" fontId="0" fillId="0" borderId="0" xfId="0" applyAlignment="1">
      <alignment horizontal="center"/>
    </xf>
    <xf numFmtId="49" fontId="0" fillId="0" borderId="0" xfId="2" applyNumberFormat="1" applyFont="1"/>
    <xf numFmtId="0" fontId="9" fillId="0" borderId="22" xfId="0" applyFont="1" applyBorder="1"/>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applyAlignment="1">
      <alignment horizontal="left" indent="1"/>
    </xf>
    <xf numFmtId="0" fontId="9" fillId="0" borderId="1"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left" indent="1"/>
    </xf>
    <xf numFmtId="0" fontId="8" fillId="0" borderId="20" xfId="0" applyFont="1" applyBorder="1" applyAlignment="1">
      <alignment horizontal="centerContinuous"/>
    </xf>
    <xf numFmtId="0" fontId="8" fillId="0" borderId="0" xfId="0" applyFont="1" applyBorder="1" applyAlignment="1">
      <alignment horizontal="centerContinuous"/>
    </xf>
    <xf numFmtId="0" fontId="8" fillId="0" borderId="21" xfId="0" applyFont="1" applyBorder="1" applyAlignment="1">
      <alignment horizontal="centerContinuous"/>
    </xf>
    <xf numFmtId="0" fontId="9" fillId="0" borderId="17" xfId="0" applyFont="1" applyBorder="1" applyAlignment="1">
      <alignment horizontal="center"/>
    </xf>
    <xf numFmtId="0" fontId="9" fillId="0" borderId="23" xfId="0" applyFont="1" applyBorder="1" applyAlignment="1">
      <alignment horizontal="center"/>
    </xf>
    <xf numFmtId="0" fontId="9" fillId="0" borderId="20" xfId="0" applyFont="1" applyBorder="1" applyAlignment="1">
      <alignment horizontal="center"/>
    </xf>
    <xf numFmtId="0" fontId="9" fillId="0" borderId="24" xfId="0" applyFont="1" applyBorder="1" applyAlignment="1">
      <alignment horizontal="center"/>
    </xf>
    <xf numFmtId="0" fontId="9" fillId="0" borderId="2" xfId="0" applyFont="1" applyBorder="1" applyAlignment="1">
      <alignment horizontal="center"/>
    </xf>
    <xf numFmtId="3" fontId="9" fillId="0" borderId="4" xfId="0" applyNumberFormat="1" applyFont="1" applyBorder="1" applyAlignment="1">
      <alignment horizontal="center"/>
    </xf>
    <xf numFmtId="0" fontId="9" fillId="0" borderId="5" xfId="0" applyFont="1" applyBorder="1" applyAlignment="1">
      <alignment horizontal="center"/>
    </xf>
    <xf numFmtId="3" fontId="9" fillId="0" borderId="6" xfId="0" applyNumberFormat="1" applyFont="1" applyBorder="1" applyAlignment="1">
      <alignment horizontal="center"/>
    </xf>
    <xf numFmtId="0" fontId="9" fillId="0" borderId="7" xfId="0" applyFont="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2" applyNumberFormat="1" applyFont="1" applyAlignment="1">
      <alignment horizontal="center"/>
    </xf>
    <xf numFmtId="1" fontId="0" fillId="0" borderId="25" xfId="0" applyNumberFormat="1" applyBorder="1"/>
    <xf numFmtId="1" fontId="0" fillId="0" borderId="26" xfId="0" applyNumberFormat="1" applyBorder="1"/>
    <xf numFmtId="0" fontId="0" fillId="0" borderId="26" xfId="0" applyBorder="1"/>
    <xf numFmtId="0" fontId="0" fillId="0" borderId="27" xfId="0" applyBorder="1"/>
    <xf numFmtId="0" fontId="0" fillId="0" borderId="0" xfId="0" applyAlignment="1">
      <alignment horizontal="center" wrapText="1"/>
    </xf>
    <xf numFmtId="0" fontId="9" fillId="0" borderId="28" xfId="0" applyFont="1" applyBorder="1"/>
    <xf numFmtId="0" fontId="8" fillId="0" borderId="25" xfId="0" applyFont="1" applyBorder="1" applyAlignment="1">
      <alignment horizontal="center"/>
    </xf>
    <xf numFmtId="0" fontId="8" fillId="0" borderId="29" xfId="0" applyFont="1" applyBorder="1" applyAlignment="1">
      <alignment horizontal="center"/>
    </xf>
    <xf numFmtId="0" fontId="9" fillId="0" borderId="10" xfId="0" applyFont="1" applyBorder="1" applyAlignment="1">
      <alignment horizontal="left" indent="1"/>
    </xf>
    <xf numFmtId="0" fontId="9" fillId="0" borderId="11" xfId="0" applyFont="1" applyBorder="1" applyAlignment="1">
      <alignment horizontal="center"/>
    </xf>
    <xf numFmtId="0" fontId="9" fillId="0" borderId="12" xfId="0" applyFont="1" applyBorder="1" applyAlignment="1">
      <alignment horizontal="center"/>
    </xf>
    <xf numFmtId="0" fontId="9" fillId="0" borderId="2" xfId="0" applyFont="1" applyBorder="1" applyAlignment="1">
      <alignment horizontal="left" indent="1"/>
    </xf>
    <xf numFmtId="0" fontId="9" fillId="0" borderId="3" xfId="0" applyFont="1" applyBorder="1" applyAlignment="1">
      <alignment horizontal="center"/>
    </xf>
    <xf numFmtId="0" fontId="9" fillId="0" borderId="4" xfId="0" applyFont="1" applyBorder="1" applyAlignment="1">
      <alignment horizontal="center"/>
    </xf>
    <xf numFmtId="49" fontId="8" fillId="0" borderId="30" xfId="2" applyNumberFormat="1" applyFont="1" applyBorder="1" applyAlignment="1">
      <alignment horizontal="center"/>
    </xf>
    <xf numFmtId="49" fontId="8" fillId="0" borderId="30" xfId="2" applyNumberFormat="1" applyFont="1" applyBorder="1"/>
    <xf numFmtId="2" fontId="8" fillId="0" borderId="10" xfId="2" applyNumberFormat="1" applyFont="1" applyBorder="1" applyAlignment="1">
      <alignment horizontal="center"/>
    </xf>
    <xf numFmtId="2" fontId="8" fillId="0" borderId="12" xfId="2" applyNumberFormat="1" applyFont="1" applyBorder="1" applyAlignment="1">
      <alignment horizontal="center"/>
    </xf>
    <xf numFmtId="2" fontId="9" fillId="0" borderId="4" xfId="2" applyNumberFormat="1" applyFont="1" applyBorder="1" applyAlignment="1">
      <alignment horizontal="center"/>
    </xf>
    <xf numFmtId="2" fontId="9" fillId="0" borderId="6" xfId="2" applyNumberFormat="1" applyFont="1" applyBorder="1" applyAlignment="1">
      <alignment horizontal="center"/>
    </xf>
    <xf numFmtId="2" fontId="9" fillId="0" borderId="9" xfId="2" applyNumberFormat="1" applyFont="1" applyBorder="1" applyAlignment="1">
      <alignment horizontal="center"/>
    </xf>
    <xf numFmtId="49" fontId="9" fillId="0" borderId="13" xfId="2" applyNumberFormat="1" applyFont="1" applyBorder="1"/>
    <xf numFmtId="49" fontId="9" fillId="0" borderId="15" xfId="2" applyNumberFormat="1" applyFont="1" applyBorder="1"/>
    <xf numFmtId="49" fontId="9" fillId="0" borderId="36" xfId="2" applyNumberFormat="1" applyFont="1" applyBorder="1"/>
    <xf numFmtId="2" fontId="9" fillId="0" borderId="2" xfId="2" applyNumberFormat="1" applyFont="1" applyBorder="1" applyAlignment="1">
      <alignment horizontal="center"/>
    </xf>
    <xf numFmtId="2" fontId="9" fillId="0" borderId="5" xfId="2" applyNumberFormat="1" applyFont="1" applyBorder="1" applyAlignment="1">
      <alignment horizontal="center"/>
    </xf>
    <xf numFmtId="2" fontId="9" fillId="0" borderId="7" xfId="2" applyNumberFormat="1" applyFont="1" applyBorder="1" applyAlignment="1">
      <alignment horizontal="center"/>
    </xf>
    <xf numFmtId="0" fontId="8" fillId="0" borderId="30" xfId="0" applyFont="1" applyBorder="1" applyAlignment="1">
      <alignment horizontal="left" vertical="center"/>
    </xf>
    <xf numFmtId="0" fontId="0" fillId="0" borderId="0" xfId="0" applyAlignment="1">
      <alignment horizontal="center" wrapText="1"/>
    </xf>
    <xf numFmtId="2" fontId="0" fillId="0" borderId="0" xfId="0" applyNumberFormat="1" applyAlignment="1">
      <alignment wrapText="1"/>
    </xf>
    <xf numFmtId="2" fontId="12" fillId="0" borderId="0" xfId="0" applyNumberFormat="1" applyFont="1"/>
    <xf numFmtId="0" fontId="0" fillId="0" borderId="0" xfId="0" applyBorder="1" applyAlignment="1">
      <alignment wrapText="1"/>
    </xf>
    <xf numFmtId="0" fontId="0" fillId="0" borderId="0" xfId="0" applyBorder="1" applyAlignment="1">
      <alignment horizontal="right"/>
    </xf>
    <xf numFmtId="0" fontId="0" fillId="0" borderId="0" xfId="0" applyBorder="1"/>
    <xf numFmtId="0" fontId="0" fillId="0" borderId="37" xfId="0" applyBorder="1" applyAlignment="1">
      <alignment wrapText="1"/>
    </xf>
    <xf numFmtId="0" fontId="0" fillId="0" borderId="37" xfId="0" applyBorder="1"/>
    <xf numFmtId="0" fontId="5" fillId="2" borderId="38" xfId="3" applyFont="1" applyBorder="1" applyAlignment="1">
      <alignment wrapText="1"/>
    </xf>
    <xf numFmtId="0" fontId="5" fillId="2" borderId="38" xfId="3" applyFont="1" applyBorder="1"/>
    <xf numFmtId="2" fontId="0" fillId="0" borderId="0" xfId="0" quotePrefix="1" applyNumberFormat="1" applyBorder="1"/>
    <xf numFmtId="2" fontId="0" fillId="0" borderId="0" xfId="0" applyNumberFormat="1" applyBorder="1"/>
    <xf numFmtId="3" fontId="0" fillId="0" borderId="0" xfId="0" applyNumberFormat="1" applyBorder="1"/>
    <xf numFmtId="0" fontId="5" fillId="2" borderId="37" xfId="3" applyFont="1" applyBorder="1"/>
    <xf numFmtId="3" fontId="5" fillId="2" borderId="37" xfId="2" applyNumberFormat="1" applyFont="1" applyFill="1" applyBorder="1"/>
    <xf numFmtId="0" fontId="0" fillId="0" borderId="38" xfId="0" applyBorder="1" applyAlignment="1">
      <alignment wrapText="1"/>
    </xf>
    <xf numFmtId="165" fontId="0" fillId="0" borderId="38" xfId="2" applyNumberFormat="1" applyFont="1" applyBorder="1"/>
    <xf numFmtId="165" fontId="0" fillId="0" borderId="0" xfId="2" applyNumberFormat="1" applyFont="1" applyBorder="1"/>
    <xf numFmtId="43" fontId="0" fillId="0" borderId="0" xfId="2" applyNumberFormat="1" applyFont="1" applyBorder="1"/>
    <xf numFmtId="0" fontId="5" fillId="2" borderId="37" xfId="3" applyFont="1" applyBorder="1" applyAlignment="1">
      <alignment wrapText="1"/>
    </xf>
    <xf numFmtId="3" fontId="5" fillId="2" borderId="37" xfId="3" applyNumberFormat="1" applyFont="1" applyBorder="1"/>
    <xf numFmtId="1" fontId="0" fillId="0" borderId="0" xfId="0" applyNumberFormat="1" applyBorder="1"/>
    <xf numFmtId="166" fontId="0" fillId="0" borderId="0" xfId="0" quotePrefix="1" applyNumberFormat="1" applyBorder="1" applyAlignment="1"/>
    <xf numFmtId="1" fontId="0" fillId="0" borderId="37" xfId="0" quotePrefix="1" applyNumberFormat="1" applyBorder="1"/>
    <xf numFmtId="167" fontId="0" fillId="0" borderId="0" xfId="0" applyNumberFormat="1" applyBorder="1"/>
    <xf numFmtId="4" fontId="0" fillId="0" borderId="0" xfId="0" quotePrefix="1" applyNumberFormat="1" applyBorder="1"/>
    <xf numFmtId="4" fontId="0" fillId="0" borderId="0" xfId="0" applyNumberFormat="1" applyBorder="1"/>
    <xf numFmtId="166" fontId="0" fillId="0" borderId="0" xfId="0" applyNumberFormat="1" applyBorder="1"/>
    <xf numFmtId="165" fontId="0" fillId="0" borderId="0" xfId="0" applyNumberFormat="1" applyBorder="1"/>
    <xf numFmtId="165" fontId="0" fillId="0" borderId="37" xfId="2" applyNumberFormat="1" applyFont="1" applyBorder="1"/>
    <xf numFmtId="0" fontId="0" fillId="0" borderId="1" xfId="0" applyBorder="1" applyAlignment="1" applyProtection="1">
      <alignment horizontal="right"/>
      <protection locked="0"/>
    </xf>
    <xf numFmtId="0" fontId="0" fillId="0" borderId="1" xfId="0" applyBorder="1" applyProtection="1">
      <protection locked="0"/>
    </xf>
    <xf numFmtId="0" fontId="13" fillId="0" borderId="0" xfId="0" applyFont="1"/>
    <xf numFmtId="0" fontId="13" fillId="3" borderId="39" xfId="0" applyFont="1" applyFill="1" applyBorder="1"/>
    <xf numFmtId="0" fontId="16" fillId="0" borderId="0" xfId="0" applyFont="1" applyAlignment="1">
      <alignment horizontal="right" wrapText="1"/>
    </xf>
    <xf numFmtId="0" fontId="0" fillId="0" borderId="43" xfId="0" applyBorder="1"/>
    <xf numFmtId="0" fontId="0" fillId="0" borderId="44" xfId="0" applyBorder="1"/>
    <xf numFmtId="0" fontId="0" fillId="0" borderId="0" xfId="0" applyAlignment="1">
      <alignment horizontal="center"/>
    </xf>
    <xf numFmtId="0" fontId="0" fillId="0" borderId="0" xfId="0" applyAlignment="1">
      <alignment horizontal="center" wrapText="1"/>
    </xf>
    <xf numFmtId="168" fontId="0" fillId="0" borderId="0" xfId="0" applyNumberFormat="1" applyBorder="1"/>
    <xf numFmtId="169" fontId="0" fillId="0" borderId="0" xfId="0" applyNumberFormat="1" applyBorder="1"/>
    <xf numFmtId="43" fontId="0" fillId="0" borderId="0" xfId="2" quotePrefix="1" applyNumberFormat="1" applyFont="1" applyBorder="1"/>
    <xf numFmtId="1" fontId="0" fillId="0" borderId="0" xfId="0" applyNumberFormat="1" applyBorder="1" applyProtection="1"/>
    <xf numFmtId="0" fontId="0" fillId="0" borderId="0" xfId="0" applyFont="1" applyAlignment="1">
      <alignment wrapText="1"/>
    </xf>
    <xf numFmtId="2" fontId="0" fillId="0" borderId="0" xfId="0" applyNumberFormat="1" applyAlignment="1">
      <alignment horizontal="left" wrapText="1" indent="2"/>
    </xf>
    <xf numFmtId="0" fontId="0" fillId="0" borderId="0" xfId="0" applyAlignment="1">
      <alignment horizontal="center" wrapText="1"/>
    </xf>
    <xf numFmtId="0" fontId="0" fillId="0" borderId="45" xfId="0" applyBorder="1" applyAlignment="1">
      <alignment wrapText="1"/>
    </xf>
    <xf numFmtId="0" fontId="0" fillId="0" borderId="37" xfId="0" quotePrefix="1" applyNumberFormat="1" applyBorder="1" applyAlignment="1">
      <alignment horizontal="right"/>
    </xf>
    <xf numFmtId="0" fontId="0" fillId="0" borderId="0" xfId="0" applyNumberFormat="1" applyAlignment="1">
      <alignment wrapText="1"/>
    </xf>
    <xf numFmtId="0" fontId="0" fillId="0" borderId="0" xfId="0" applyNumberFormat="1"/>
    <xf numFmtId="0" fontId="0" fillId="0" borderId="0" xfId="0" applyNumberFormat="1" applyAlignment="1">
      <alignment horizontal="center" wrapText="1"/>
    </xf>
    <xf numFmtId="0" fontId="0" fillId="0" borderId="0" xfId="0" applyNumberFormat="1" applyAlignment="1">
      <alignment horizontal="center"/>
    </xf>
    <xf numFmtId="0" fontId="5" fillId="2" borderId="46" xfId="3" applyFont="1" applyBorder="1" applyAlignment="1">
      <alignment wrapText="1"/>
    </xf>
    <xf numFmtId="167" fontId="5" fillId="2" borderId="0" xfId="3" applyNumberFormat="1" applyFont="1" applyBorder="1"/>
    <xf numFmtId="165" fontId="0" fillId="0" borderId="0" xfId="2" applyNumberFormat="1" applyFont="1" applyAlignment="1">
      <alignment horizontal="right"/>
    </xf>
    <xf numFmtId="0" fontId="5" fillId="0" borderId="1" xfId="1" applyNumberFormat="1" applyFont="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5" xfId="1" applyNumberFormat="1" applyFont="1" applyBorder="1" applyAlignment="1">
      <alignment horizontal="left" vertical="center" wrapText="1"/>
    </xf>
    <xf numFmtId="0" fontId="5" fillId="0" borderId="5" xfId="1" applyNumberFormat="1" applyFont="1" applyFill="1" applyBorder="1" applyAlignment="1">
      <alignment horizontal="left" vertical="center" wrapText="1"/>
    </xf>
    <xf numFmtId="0" fontId="5" fillId="0" borderId="6" xfId="1" applyNumberFormat="1" applyFont="1" applyFill="1" applyBorder="1" applyAlignment="1">
      <alignment horizontal="center" vertical="center" wrapText="1"/>
    </xf>
    <xf numFmtId="0" fontId="5" fillId="0" borderId="7" xfId="1" applyNumberFormat="1" applyFont="1" applyFill="1" applyBorder="1" applyAlignment="1">
      <alignment horizontal="left" vertical="center" wrapText="1"/>
    </xf>
    <xf numFmtId="0" fontId="5" fillId="0" borderId="8" xfId="1" applyNumberFormat="1" applyFont="1" applyFill="1" applyBorder="1" applyAlignment="1">
      <alignment horizontal="center" vertical="center" wrapText="1"/>
    </xf>
    <xf numFmtId="0" fontId="5" fillId="0" borderId="9" xfId="1" applyNumberFormat="1" applyFont="1" applyFill="1" applyBorder="1" applyAlignment="1">
      <alignment horizontal="center" vertical="center" wrapText="1"/>
    </xf>
    <xf numFmtId="0" fontId="5" fillId="0" borderId="8" xfId="1" applyNumberFormat="1" applyFont="1" applyBorder="1" applyAlignment="1">
      <alignment horizontal="center" vertical="center" wrapText="1"/>
    </xf>
    <xf numFmtId="0" fontId="5" fillId="0" borderId="9" xfId="1" applyNumberFormat="1" applyFont="1" applyBorder="1" applyAlignment="1">
      <alignment horizontal="center" vertical="center" wrapText="1"/>
    </xf>
    <xf numFmtId="0" fontId="5" fillId="0" borderId="47" xfId="1" applyNumberFormat="1" applyFont="1" applyBorder="1" applyAlignment="1">
      <alignment horizontal="left" vertical="center" wrapText="1"/>
    </xf>
    <xf numFmtId="0" fontId="5" fillId="0" borderId="27" xfId="1" applyNumberFormat="1" applyFont="1" applyBorder="1" applyAlignment="1">
      <alignment horizontal="center" vertical="center" wrapText="1"/>
    </xf>
    <xf numFmtId="0" fontId="5" fillId="0" borderId="48" xfId="1" applyNumberFormat="1" applyFont="1" applyBorder="1" applyAlignment="1">
      <alignment horizontal="center" vertical="center" wrapText="1"/>
    </xf>
    <xf numFmtId="0" fontId="17" fillId="0" borderId="0" xfId="0" applyFont="1"/>
    <xf numFmtId="0" fontId="18" fillId="0" borderId="0" xfId="0" applyFont="1"/>
    <xf numFmtId="0" fontId="21" fillId="0" borderId="0" xfId="0" applyFont="1"/>
    <xf numFmtId="0" fontId="10" fillId="0" borderId="0" xfId="0" applyFont="1" applyAlignment="1">
      <alignment horizontal="right"/>
    </xf>
    <xf numFmtId="0" fontId="22" fillId="0" borderId="0" xfId="0" applyFont="1"/>
    <xf numFmtId="0" fontId="22" fillId="0" borderId="0" xfId="0" applyFont="1" applyAlignment="1">
      <alignment horizontal="right"/>
    </xf>
    <xf numFmtId="2" fontId="0" fillId="0" borderId="37" xfId="0" applyNumberFormat="1" applyBorder="1" applyAlignment="1">
      <alignment wrapText="1"/>
    </xf>
    <xf numFmtId="166" fontId="18" fillId="0" borderId="0" xfId="0" applyNumberFormat="1" applyFont="1" applyBorder="1"/>
    <xf numFmtId="0" fontId="0" fillId="0" borderId="20" xfId="0" applyBorder="1"/>
    <xf numFmtId="0" fontId="0" fillId="0" borderId="21" xfId="0" applyBorder="1"/>
    <xf numFmtId="0" fontId="0" fillId="0" borderId="20" xfId="0" quotePrefix="1" applyBorder="1" applyAlignment="1">
      <alignment wrapText="1"/>
    </xf>
    <xf numFmtId="0" fontId="0" fillId="0" borderId="0" xfId="0" quotePrefix="1" applyBorder="1" applyAlignment="1">
      <alignment wrapText="1"/>
    </xf>
    <xf numFmtId="0" fontId="0" fillId="0" borderId="21" xfId="0" quotePrefix="1" applyBorder="1" applyAlignment="1">
      <alignment wrapText="1"/>
    </xf>
    <xf numFmtId="10" fontId="0" fillId="0" borderId="20" xfId="0" applyNumberFormat="1" applyBorder="1"/>
    <xf numFmtId="10" fontId="0" fillId="0" borderId="0" xfId="0" applyNumberFormat="1" applyBorder="1"/>
    <xf numFmtId="10" fontId="0" fillId="0" borderId="21" xfId="0" applyNumberFormat="1" applyBorder="1"/>
    <xf numFmtId="164" fontId="0" fillId="0" borderId="20" xfId="0" quotePrefix="1" applyNumberFormat="1" applyBorder="1"/>
    <xf numFmtId="164" fontId="0" fillId="0" borderId="0" xfId="0" quotePrefix="1" applyNumberFormat="1" applyBorder="1"/>
    <xf numFmtId="164" fontId="0" fillId="0" borderId="21" xfId="0" quotePrefix="1" applyNumberFormat="1" applyBorder="1"/>
    <xf numFmtId="164" fontId="0" fillId="0" borderId="20" xfId="0" applyNumberFormat="1" applyBorder="1"/>
    <xf numFmtId="164" fontId="0" fillId="0" borderId="0" xfId="0" applyNumberFormat="1" applyBorder="1"/>
    <xf numFmtId="164" fontId="0" fillId="0" borderId="21" xfId="0" applyNumberFormat="1" applyBorder="1"/>
    <xf numFmtId="166" fontId="0" fillId="0" borderId="20" xfId="0" applyNumberFormat="1" applyBorder="1"/>
    <xf numFmtId="166" fontId="0" fillId="0" borderId="21" xfId="0" applyNumberFormat="1" applyBorder="1"/>
    <xf numFmtId="1" fontId="0" fillId="0" borderId="20" xfId="0" applyNumberFormat="1" applyBorder="1"/>
    <xf numFmtId="1" fontId="0" fillId="0" borderId="21" xfId="0" quotePrefix="1" applyNumberFormat="1" applyBorder="1"/>
    <xf numFmtId="1" fontId="0" fillId="0" borderId="20" xfId="0" quotePrefix="1" applyNumberFormat="1" applyBorder="1"/>
    <xf numFmtId="1" fontId="0" fillId="0" borderId="0" xfId="0" quotePrefix="1" applyNumberFormat="1" applyBorder="1"/>
    <xf numFmtId="165" fontId="0" fillId="0" borderId="20" xfId="2" applyNumberFormat="1" applyFont="1" applyBorder="1"/>
    <xf numFmtId="165" fontId="0" fillId="0" borderId="21" xfId="2" applyNumberFormat="1" applyFont="1" applyBorder="1"/>
    <xf numFmtId="1" fontId="0" fillId="0" borderId="21" xfId="0" applyNumberFormat="1" applyBorder="1"/>
    <xf numFmtId="0" fontId="0" fillId="0" borderId="20" xfId="0" quotePrefix="1" applyBorder="1"/>
    <xf numFmtId="0" fontId="0" fillId="0" borderId="36" xfId="0" applyBorder="1"/>
    <xf numFmtId="0" fontId="0" fillId="0" borderId="52" xfId="0" applyBorder="1"/>
    <xf numFmtId="0" fontId="0" fillId="0" borderId="53" xfId="0" applyBorder="1"/>
    <xf numFmtId="0" fontId="0" fillId="0" borderId="0" xfId="0" applyBorder="1" applyProtection="1"/>
    <xf numFmtId="0" fontId="0" fillId="0" borderId="1" xfId="0" quotePrefix="1" applyBorder="1" applyProtection="1">
      <protection locked="0"/>
    </xf>
    <xf numFmtId="0" fontId="0" fillId="0" borderId="1" xfId="0" quotePrefix="1" applyBorder="1" applyAlignment="1" applyProtection="1">
      <alignment horizontal="right"/>
      <protection locked="0"/>
    </xf>
    <xf numFmtId="0" fontId="0" fillId="0" borderId="49" xfId="0" applyBorder="1"/>
    <xf numFmtId="2" fontId="0" fillId="0" borderId="0" xfId="0" applyNumberFormat="1" applyAlignment="1">
      <alignment horizontal="left" vertical="top" wrapText="1"/>
    </xf>
    <xf numFmtId="2" fontId="23" fillId="0" borderId="0" xfId="0" applyNumberFormat="1" applyFont="1" applyAlignment="1">
      <alignment wrapText="1"/>
    </xf>
    <xf numFmtId="0" fontId="0" fillId="0" borderId="37" xfId="0" applyBorder="1" applyAlignment="1" applyProtection="1">
      <alignment wrapText="1"/>
    </xf>
    <xf numFmtId="0" fontId="0" fillId="0" borderId="0" xfId="0" applyAlignment="1">
      <alignment horizontal="centerContinuous"/>
    </xf>
    <xf numFmtId="0" fontId="0" fillId="0" borderId="0" xfId="0" applyAlignment="1">
      <alignment horizontal="center" wrapText="1"/>
    </xf>
    <xf numFmtId="168" fontId="0" fillId="0" borderId="0" xfId="0" applyNumberFormat="1"/>
    <xf numFmtId="168" fontId="0" fillId="0" borderId="0" xfId="0" applyNumberFormat="1" applyAlignment="1">
      <alignment horizontal="centerContinuous"/>
    </xf>
    <xf numFmtId="168" fontId="0" fillId="4" borderId="0" xfId="0" applyNumberFormat="1" applyFill="1"/>
    <xf numFmtId="168" fontId="0" fillId="0" borderId="0" xfId="0" applyNumberFormat="1" applyFill="1"/>
    <xf numFmtId="168" fontId="5" fillId="0" borderId="0" xfId="0" applyNumberFormat="1" applyFont="1" applyFill="1"/>
    <xf numFmtId="49" fontId="0" fillId="0" borderId="0" xfId="0" applyNumberFormat="1" applyAlignment="1">
      <alignment wrapText="1"/>
    </xf>
    <xf numFmtId="49" fontId="0" fillId="0" borderId="0" xfId="0" applyNumberFormat="1"/>
    <xf numFmtId="0" fontId="15" fillId="3" borderId="39" xfId="0" applyFont="1" applyFill="1" applyBorder="1" applyAlignment="1">
      <alignment horizontal="center" vertical="center" textRotation="90" wrapText="1"/>
    </xf>
    <xf numFmtId="0" fontId="15" fillId="3" borderId="40" xfId="0" applyFont="1" applyFill="1" applyBorder="1" applyAlignment="1">
      <alignment horizontal="center" vertical="center" textRotation="90" wrapText="1"/>
    </xf>
    <xf numFmtId="0" fontId="0" fillId="0" borderId="0" xfId="0" applyBorder="1" applyAlignment="1">
      <alignment horizontal="left"/>
    </xf>
    <xf numFmtId="0" fontId="15" fillId="3" borderId="41" xfId="0" applyFont="1" applyFill="1" applyBorder="1" applyAlignment="1">
      <alignment horizontal="center" vertical="center" textRotation="90" wrapText="1"/>
    </xf>
    <xf numFmtId="0" fontId="13" fillId="3" borderId="40" xfId="0" applyFont="1" applyFill="1" applyBorder="1" applyAlignment="1">
      <alignment horizontal="center" vertical="center" textRotation="90" wrapText="1"/>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0" xfId="0" applyAlignment="1">
      <alignment horizontal="center"/>
    </xf>
    <xf numFmtId="0" fontId="0" fillId="0" borderId="0" xfId="0" applyAlignment="1">
      <alignment horizontal="center" wrapText="1"/>
    </xf>
    <xf numFmtId="0" fontId="9" fillId="0" borderId="17"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0" fontId="5" fillId="0" borderId="1" xfId="1" applyNumberFormat="1" applyFont="1" applyFill="1" applyBorder="1" applyAlignment="1">
      <alignment horizontal="center" vertical="center" wrapText="1"/>
    </xf>
    <xf numFmtId="0" fontId="5" fillId="0" borderId="6" xfId="1"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0" fontId="5" fillId="0" borderId="0" xfId="1" applyNumberFormat="1" applyFont="1" applyAlignment="1">
      <alignment horizontal="left" wrapText="1"/>
    </xf>
    <xf numFmtId="0" fontId="19" fillId="0" borderId="10" xfId="1" applyNumberFormat="1" applyFont="1" applyBorder="1" applyAlignment="1">
      <alignment horizontal="center"/>
    </xf>
    <xf numFmtId="0" fontId="19" fillId="0" borderId="11" xfId="1" applyNumberFormat="1" applyFont="1" applyBorder="1" applyAlignment="1">
      <alignment horizontal="center"/>
    </xf>
    <xf numFmtId="0" fontId="19" fillId="0" borderId="12" xfId="1" applyNumberFormat="1" applyFont="1" applyBorder="1" applyAlignment="1">
      <alignment horizontal="center"/>
    </xf>
    <xf numFmtId="0" fontId="5" fillId="0" borderId="10" xfId="1" applyNumberFormat="1" applyFont="1" applyBorder="1" applyAlignment="1">
      <alignment horizontal="center" vertical="center" wrapText="1"/>
    </xf>
    <xf numFmtId="0" fontId="5" fillId="0" borderId="11" xfId="1" applyNumberFormat="1" applyFont="1" applyBorder="1" applyAlignment="1">
      <alignment horizontal="center" vertical="center" wrapText="1"/>
    </xf>
    <xf numFmtId="0" fontId="5" fillId="0" borderId="12"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center" wrapText="1"/>
    </xf>
    <xf numFmtId="0" fontId="8" fillId="0" borderId="14" xfId="0" applyFont="1" applyBorder="1" applyAlignment="1">
      <alignment horizontal="center" wrapText="1"/>
    </xf>
    <xf numFmtId="49" fontId="8" fillId="0" borderId="31" xfId="2" applyNumberFormat="1" applyFont="1" applyBorder="1" applyAlignment="1">
      <alignment horizontal="center" wrapText="1"/>
    </xf>
    <xf numFmtId="49" fontId="8" fillId="0" borderId="33" xfId="2" applyNumberFormat="1" applyFont="1" applyBorder="1" applyAlignment="1">
      <alignment horizontal="center" wrapText="1"/>
    </xf>
    <xf numFmtId="49" fontId="8" fillId="0" borderId="32" xfId="2" applyNumberFormat="1" applyFont="1" applyBorder="1" applyAlignment="1">
      <alignment horizontal="center" wrapText="1"/>
    </xf>
    <xf numFmtId="0" fontId="8" fillId="0" borderId="30" xfId="2" applyNumberFormat="1" applyFont="1" applyBorder="1" applyAlignment="1">
      <alignment horizontal="center"/>
    </xf>
    <xf numFmtId="0" fontId="8" fillId="0" borderId="35" xfId="2" applyNumberFormat="1" applyFont="1" applyBorder="1" applyAlignment="1">
      <alignment horizontal="center"/>
    </xf>
    <xf numFmtId="49" fontId="8" fillId="0" borderId="0" xfId="2" applyNumberFormat="1" applyFont="1" applyAlignment="1">
      <alignment horizontal="center"/>
    </xf>
    <xf numFmtId="49" fontId="8" fillId="0" borderId="16" xfId="2" applyNumberFormat="1" applyFont="1" applyBorder="1" applyAlignment="1">
      <alignment horizontal="center"/>
    </xf>
    <xf numFmtId="0" fontId="11" fillId="0" borderId="0" xfId="0" applyFont="1" applyAlignment="1">
      <alignment horizontal="center"/>
    </xf>
    <xf numFmtId="0" fontId="0" fillId="5" borderId="47" xfId="0" applyFill="1" applyBorder="1" applyProtection="1">
      <protection locked="0"/>
    </xf>
    <xf numFmtId="0" fontId="0" fillId="5" borderId="27" xfId="0" applyFill="1" applyBorder="1" applyProtection="1">
      <protection locked="0"/>
    </xf>
    <xf numFmtId="0" fontId="0" fillId="5" borderId="48" xfId="0" applyFill="1" applyBorder="1" applyProtection="1">
      <protection locked="0"/>
    </xf>
    <xf numFmtId="0" fontId="0" fillId="5" borderId="5" xfId="0" applyFill="1" applyBorder="1" applyProtection="1">
      <protection locked="0"/>
    </xf>
    <xf numFmtId="0" fontId="0" fillId="5" borderId="1" xfId="0" applyFill="1" applyBorder="1" applyProtection="1">
      <protection locked="0"/>
    </xf>
    <xf numFmtId="0" fontId="0" fillId="5" borderId="6" xfId="0" applyFill="1" applyBorder="1" applyProtection="1">
      <protection locked="0"/>
    </xf>
    <xf numFmtId="0" fontId="0" fillId="5" borderId="1" xfId="0" applyFill="1" applyBorder="1" applyAlignment="1" applyProtection="1">
      <alignment horizontal="right"/>
      <protection locked="0"/>
    </xf>
    <xf numFmtId="0" fontId="0" fillId="5" borderId="1" xfId="0" applyFill="1" applyBorder="1" applyAlignment="1">
      <alignment horizontal="right"/>
    </xf>
    <xf numFmtId="0" fontId="5" fillId="5" borderId="27" xfId="3" applyFont="1" applyFill="1" applyBorder="1" applyProtection="1">
      <protection locked="0"/>
    </xf>
    <xf numFmtId="165" fontId="0" fillId="5" borderId="1" xfId="2" applyNumberFormat="1" applyFont="1" applyFill="1" applyBorder="1"/>
    <xf numFmtId="0" fontId="0" fillId="5" borderId="1" xfId="0" applyFill="1" applyBorder="1"/>
    <xf numFmtId="0" fontId="13" fillId="5" borderId="42" xfId="0" applyFont="1" applyFill="1" applyBorder="1"/>
  </cellXfs>
  <cellStyles count="4">
    <cellStyle name="Comma" xfId="2" builtinId="3"/>
    <cellStyle name="Good" xfId="3" builtinId="26"/>
    <cellStyle name="Normal" xfId="0" builtinId="0"/>
    <cellStyle name="Normal 2" xfId="1"/>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3648075</xdr:colOff>
      <xdr:row>9</xdr:row>
      <xdr:rowOff>123826</xdr:rowOff>
    </xdr:from>
    <xdr:ext cx="2314575" cy="876300"/>
    <mc:AlternateContent xmlns:mc="http://schemas.openxmlformats.org/markup-compatibility/2006" xmlns:a14="http://schemas.microsoft.com/office/drawing/2010/main">
      <mc:Choice Requires="a14">
        <xdr:sp macro="" textlink="">
          <xdr:nvSpPr>
            <xdr:cNvPr id="2" name="TextBox 1"/>
            <xdr:cNvSpPr txBox="1"/>
          </xdr:nvSpPr>
          <xdr:spPr>
            <a:xfrm>
              <a:off x="3648075" y="3000376"/>
              <a:ext cx="2314575"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a:rPr>
                        </m:ctrlPr>
                      </m:sSubPr>
                      <m:e>
                        <m:r>
                          <a:rPr lang="en-US" sz="1400" b="0" i="1">
                            <a:latin typeface="Cambria Math"/>
                          </a:rPr>
                          <m:t>𝑦</m:t>
                        </m:r>
                      </m:e>
                      <m:sub>
                        <m:r>
                          <a:rPr lang="en-US" sz="1400" b="0" i="1">
                            <a:latin typeface="Cambria Math"/>
                          </a:rPr>
                          <m:t>𝑚𝑎𝑥</m:t>
                        </m:r>
                      </m:sub>
                    </m:sSub>
                    <m:r>
                      <a:rPr lang="en-US" sz="1400" b="0" i="1">
                        <a:latin typeface="Cambria Math"/>
                      </a:rPr>
                      <m:t>=</m:t>
                    </m:r>
                    <m:f>
                      <m:fPr>
                        <m:ctrlPr>
                          <a:rPr lang="en-US" sz="1400" b="0" i="1">
                            <a:solidFill>
                              <a:schemeClr val="tx1"/>
                            </a:solidFill>
                            <a:effectLst/>
                            <a:latin typeface="Cambria Math"/>
                            <a:ea typeface="+mn-ea"/>
                            <a:cs typeface="+mn-cs"/>
                          </a:rPr>
                        </m:ctrlPr>
                      </m:fPr>
                      <m:num>
                        <m:r>
                          <a:rPr lang="en-US" sz="1400" b="0" i="1">
                            <a:solidFill>
                              <a:schemeClr val="tx1"/>
                            </a:solidFill>
                            <a:effectLst/>
                            <a:latin typeface="Cambria Math"/>
                            <a:ea typeface="+mn-ea"/>
                            <a:cs typeface="+mn-cs"/>
                          </a:rPr>
                          <m:t>𝑃</m:t>
                        </m:r>
                        <m:sSup>
                          <m:sSupPr>
                            <m:ctrlPr>
                              <a:rPr lang="en-US" sz="1400" b="0" i="1">
                                <a:solidFill>
                                  <a:schemeClr val="tx1"/>
                                </a:solidFill>
                                <a:effectLst/>
                                <a:latin typeface="Cambria Math"/>
                                <a:ea typeface="+mn-ea"/>
                                <a:cs typeface="+mn-cs"/>
                              </a:rPr>
                            </m:ctrlPr>
                          </m:sSupPr>
                          <m:e>
                            <m:r>
                              <a:rPr lang="en-US" sz="1400" b="0" i="1">
                                <a:solidFill>
                                  <a:schemeClr val="tx1"/>
                                </a:solidFill>
                                <a:effectLst/>
                                <a:latin typeface="Cambria Math"/>
                                <a:ea typeface="+mn-ea"/>
                                <a:cs typeface="+mn-cs"/>
                              </a:rPr>
                              <m:t>𝐿</m:t>
                            </m:r>
                          </m:e>
                          <m:sup>
                            <m:r>
                              <a:rPr lang="en-US" sz="1400" b="0" i="1">
                                <a:solidFill>
                                  <a:schemeClr val="tx1"/>
                                </a:solidFill>
                                <a:effectLst/>
                                <a:latin typeface="Cambria Math"/>
                                <a:ea typeface="+mn-ea"/>
                                <a:cs typeface="+mn-cs"/>
                              </a:rPr>
                              <m:t>3</m:t>
                            </m:r>
                          </m:sup>
                        </m:sSup>
                      </m:num>
                      <m:den>
                        <m:r>
                          <a:rPr lang="en-US" sz="1400" b="0" i="1">
                            <a:latin typeface="Cambria Math"/>
                          </a:rPr>
                          <m:t>3</m:t>
                        </m:r>
                        <m:r>
                          <a:rPr lang="en-US" sz="1400" b="0" i="1">
                            <a:latin typeface="Cambria Math"/>
                          </a:rPr>
                          <m:t>𝐸</m:t>
                        </m:r>
                        <m:sSub>
                          <m:sSubPr>
                            <m:ctrlPr>
                              <a:rPr lang="en-US" sz="1400" b="0" i="1">
                                <a:latin typeface="Cambria Math"/>
                              </a:rPr>
                            </m:ctrlPr>
                          </m:sSubPr>
                          <m:e>
                            <m:r>
                              <a:rPr lang="en-US" sz="1400" b="0" i="1">
                                <a:latin typeface="Cambria Math"/>
                              </a:rPr>
                              <m:t>𝐼</m:t>
                            </m:r>
                          </m:e>
                          <m:sub>
                            <m:r>
                              <a:rPr lang="en-US" sz="1400" b="0" i="1">
                                <a:latin typeface="Cambria Math"/>
                              </a:rPr>
                              <m:t>𝑎</m:t>
                            </m:r>
                          </m:sub>
                        </m:sSub>
                        <m:sSup>
                          <m:sSupPr>
                            <m:ctrlPr>
                              <a:rPr lang="en-US" sz="1400" b="0" i="1">
                                <a:latin typeface="Cambria Math"/>
                              </a:rPr>
                            </m:ctrlPr>
                          </m:sSupPr>
                          <m:e>
                            <m:d>
                              <m:dPr>
                                <m:ctrlPr>
                                  <a:rPr lang="en-US" sz="1400" b="0" i="1">
                                    <a:latin typeface="Cambria Math"/>
                                  </a:rPr>
                                </m:ctrlPr>
                              </m:dPr>
                              <m:e>
                                <m:f>
                                  <m:fPr>
                                    <m:ctrlPr>
                                      <a:rPr lang="en-US" sz="1400" b="0" i="1">
                                        <a:latin typeface="Cambria Math"/>
                                      </a:rPr>
                                    </m:ctrlPr>
                                  </m:fPr>
                                  <m:num>
                                    <m:sSub>
                                      <m:sSubPr>
                                        <m:ctrlPr>
                                          <a:rPr lang="en-US" sz="1400" b="0" i="1">
                                            <a:latin typeface="Cambria Math"/>
                                          </a:rPr>
                                        </m:ctrlPr>
                                      </m:sSubPr>
                                      <m:e>
                                        <m:r>
                                          <a:rPr lang="en-US" sz="1400" b="0" i="1">
                                            <a:latin typeface="Cambria Math"/>
                                          </a:rPr>
                                          <m:t>𝑑</m:t>
                                        </m:r>
                                      </m:e>
                                      <m:sub>
                                        <m:r>
                                          <a:rPr lang="en-US" sz="1400" b="0" i="1">
                                            <a:latin typeface="Cambria Math"/>
                                          </a:rPr>
                                          <m:t>𝑏</m:t>
                                        </m:r>
                                      </m:sub>
                                    </m:sSub>
                                  </m:num>
                                  <m:den>
                                    <m:sSub>
                                      <m:sSubPr>
                                        <m:ctrlPr>
                                          <a:rPr lang="en-US" sz="1400" b="0" i="1">
                                            <a:latin typeface="Cambria Math"/>
                                          </a:rPr>
                                        </m:ctrlPr>
                                      </m:sSubPr>
                                      <m:e>
                                        <m:r>
                                          <a:rPr lang="en-US" sz="1400" b="0" i="1">
                                            <a:latin typeface="Cambria Math"/>
                                          </a:rPr>
                                          <m:t>𝑑</m:t>
                                        </m:r>
                                      </m:e>
                                      <m:sub>
                                        <m:r>
                                          <a:rPr lang="en-US" sz="1400" b="0" i="1">
                                            <a:latin typeface="Cambria Math"/>
                                          </a:rPr>
                                          <m:t>𝑎</m:t>
                                        </m:r>
                                      </m:sub>
                                    </m:sSub>
                                  </m:den>
                                </m:f>
                              </m:e>
                            </m:d>
                          </m:e>
                          <m:sup>
                            <m:r>
                              <a:rPr lang="en-US" sz="1400" b="0" i="1">
                                <a:latin typeface="Cambria Math"/>
                              </a:rPr>
                              <m:t>3</m:t>
                            </m:r>
                          </m:sup>
                        </m:sSup>
                      </m:den>
                    </m:f>
                  </m:oMath>
                </m:oMathPara>
              </a14:m>
              <a:endParaRPr lang="en-US" sz="1400"/>
            </a:p>
          </xdr:txBody>
        </xdr:sp>
      </mc:Choice>
      <mc:Fallback xmlns="">
        <xdr:sp macro="" textlink="">
          <xdr:nvSpPr>
            <xdr:cNvPr id="2" name="TextBox 1"/>
            <xdr:cNvSpPr txBox="1"/>
          </xdr:nvSpPr>
          <xdr:spPr>
            <a:xfrm>
              <a:off x="3648075" y="3000376"/>
              <a:ext cx="2314575" cy="87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0" i="0">
                  <a:latin typeface="Cambria Math"/>
                </a:rPr>
                <a:t>𝑦_𝑚𝑎𝑥=</a:t>
              </a:r>
              <a:r>
                <a:rPr lang="en-US" sz="1400" b="0" i="0">
                  <a:solidFill>
                    <a:schemeClr val="tx1"/>
                  </a:solidFill>
                  <a:effectLst/>
                  <a:latin typeface="Cambria Math"/>
                  <a:ea typeface="+mn-ea"/>
                  <a:cs typeface="+mn-cs"/>
                </a:rPr>
                <a:t>(</a:t>
              </a:r>
              <a:r>
                <a:rPr lang="en-US" sz="1400" b="0" i="0">
                  <a:solidFill>
                    <a:schemeClr val="tx1"/>
                  </a:solidFill>
                  <a:effectLst/>
                  <a:latin typeface="+mn-lt"/>
                  <a:ea typeface="+mn-ea"/>
                  <a:cs typeface="+mn-cs"/>
                </a:rPr>
                <a:t>𝑃𝐿</a:t>
              </a:r>
              <a:r>
                <a:rPr lang="en-US" sz="1400" b="0" i="0">
                  <a:solidFill>
                    <a:schemeClr val="tx1"/>
                  </a:solidFill>
                  <a:effectLst/>
                  <a:latin typeface="Cambria Math"/>
                  <a:ea typeface="+mn-ea"/>
                  <a:cs typeface="+mn-cs"/>
                </a:rPr>
                <a:t>^</a:t>
              </a:r>
              <a:r>
                <a:rPr lang="en-US" sz="1400" b="0" i="0">
                  <a:solidFill>
                    <a:schemeClr val="tx1"/>
                  </a:solidFill>
                  <a:effectLst/>
                  <a:latin typeface="+mn-lt"/>
                  <a:ea typeface="+mn-ea"/>
                  <a:cs typeface="+mn-cs"/>
                </a:rPr>
                <a:t>3</a:t>
              </a:r>
              <a:r>
                <a:rPr lang="en-US" sz="1400" b="0" i="0">
                  <a:solidFill>
                    <a:schemeClr val="tx1"/>
                  </a:solidFill>
                  <a:effectLst/>
                  <a:latin typeface="Cambria Math"/>
                  <a:ea typeface="+mn-ea"/>
                  <a:cs typeface="+mn-cs"/>
                </a:rPr>
                <a:t>)/(</a:t>
              </a:r>
              <a:r>
                <a:rPr lang="en-US" sz="1400" b="0" i="0">
                  <a:latin typeface="Cambria Math"/>
                </a:rPr>
                <a:t>3𝐸𝐼_𝑎 (𝑑_𝑏/𝑑_𝑎 )^3</a:t>
              </a:r>
              <a:r>
                <a:rPr lang="en-US" sz="1400" b="0" i="0">
                  <a:solidFill>
                    <a:schemeClr val="tx1"/>
                  </a:solidFill>
                  <a:effectLst/>
                  <a:latin typeface="Cambria Math"/>
                  <a:ea typeface="+mn-ea"/>
                  <a:cs typeface="+mn-cs"/>
                </a:rPr>
                <a:t> )</a:t>
              </a:r>
              <a:endParaRPr lang="en-US" sz="1400"/>
            </a:p>
          </xdr:txBody>
        </xdr:sp>
      </mc:Fallback>
    </mc:AlternateContent>
    <xdr:clientData/>
  </xdr:oneCellAnchor>
  <xdr:oneCellAnchor>
    <xdr:from>
      <xdr:col>0</xdr:col>
      <xdr:colOff>647699</xdr:colOff>
      <xdr:row>9</xdr:row>
      <xdr:rowOff>142875</xdr:rowOff>
    </xdr:from>
    <xdr:ext cx="2438401" cy="784125"/>
    <mc:AlternateContent xmlns:mc="http://schemas.openxmlformats.org/markup-compatibility/2006" xmlns:a14="http://schemas.microsoft.com/office/drawing/2010/main">
      <mc:Choice Requires="a14">
        <xdr:sp macro="" textlink="">
          <xdr:nvSpPr>
            <xdr:cNvPr id="3" name="TextBox 2"/>
            <xdr:cNvSpPr txBox="1"/>
          </xdr:nvSpPr>
          <xdr:spPr>
            <a:xfrm>
              <a:off x="647699" y="3019425"/>
              <a:ext cx="2438401" cy="784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a:ea typeface="Cambria Math"/>
                          </a:rPr>
                        </m:ctrlPr>
                      </m:sSubPr>
                      <m:e>
                        <m:r>
                          <a:rPr lang="en-US" sz="1400" i="1">
                            <a:latin typeface="Cambria Math"/>
                            <a:ea typeface="Cambria Math"/>
                          </a:rPr>
                          <m:t>𝜃</m:t>
                        </m:r>
                      </m:e>
                      <m:sub>
                        <m:r>
                          <a:rPr lang="en-US" sz="1400" b="0" i="1">
                            <a:latin typeface="Cambria Math"/>
                            <a:ea typeface="Cambria Math"/>
                          </a:rPr>
                          <m:t>𝑚𝑎𝑥</m:t>
                        </m:r>
                      </m:sub>
                    </m:sSub>
                    <m:r>
                      <a:rPr lang="en-US" sz="1400" b="0" i="1">
                        <a:latin typeface="Cambria Math"/>
                        <a:ea typeface="Cambria Math"/>
                      </a:rPr>
                      <m:t>=</m:t>
                    </m:r>
                    <m:f>
                      <m:fPr>
                        <m:ctrlPr>
                          <a:rPr lang="en-US" sz="1400" b="0" i="1">
                            <a:latin typeface="Cambria Math"/>
                            <a:ea typeface="Cambria Math"/>
                          </a:rPr>
                        </m:ctrlPr>
                      </m:fPr>
                      <m:num>
                        <m:r>
                          <a:rPr lang="en-US" sz="1400" b="0" i="1">
                            <a:latin typeface="Cambria Math"/>
                            <a:ea typeface="Cambria Math"/>
                          </a:rPr>
                          <m:t>𝑃</m:t>
                        </m:r>
                        <m:sSup>
                          <m:sSupPr>
                            <m:ctrlPr>
                              <a:rPr lang="en-US" sz="1400" b="0" i="1">
                                <a:latin typeface="Cambria Math"/>
                                <a:ea typeface="Cambria Math"/>
                              </a:rPr>
                            </m:ctrlPr>
                          </m:sSupPr>
                          <m:e>
                            <m:r>
                              <a:rPr lang="en-US" sz="1400" b="0" i="1">
                                <a:latin typeface="Cambria Math"/>
                                <a:ea typeface="Cambria Math"/>
                              </a:rPr>
                              <m:t>𝐿</m:t>
                            </m:r>
                          </m:e>
                          <m:sup>
                            <m:r>
                              <a:rPr lang="en-US" sz="1400" b="0" i="1">
                                <a:latin typeface="Cambria Math"/>
                                <a:ea typeface="Cambria Math"/>
                              </a:rPr>
                              <m:t>2</m:t>
                            </m:r>
                          </m:sup>
                        </m:sSup>
                      </m:num>
                      <m:den>
                        <m:r>
                          <a:rPr lang="en-US" sz="1400" b="0" i="1">
                            <a:latin typeface="Cambria Math"/>
                            <a:ea typeface="Cambria Math"/>
                          </a:rPr>
                          <m:t>2.068</m:t>
                        </m:r>
                        <m:r>
                          <a:rPr lang="en-US" sz="1400" b="0" i="1">
                            <a:latin typeface="Cambria Math"/>
                            <a:ea typeface="Cambria Math"/>
                          </a:rPr>
                          <m:t>𝐸</m:t>
                        </m:r>
                        <m:sSub>
                          <m:sSubPr>
                            <m:ctrlPr>
                              <a:rPr lang="en-US" sz="1400" b="0" i="1">
                                <a:latin typeface="Cambria Math"/>
                                <a:ea typeface="Cambria Math"/>
                              </a:rPr>
                            </m:ctrlPr>
                          </m:sSubPr>
                          <m:e>
                            <m:r>
                              <a:rPr lang="en-US" sz="1400" b="0" i="1">
                                <a:latin typeface="Cambria Math"/>
                                <a:ea typeface="Cambria Math"/>
                              </a:rPr>
                              <m:t>𝐼</m:t>
                            </m:r>
                          </m:e>
                          <m:sub>
                            <m:r>
                              <a:rPr lang="en-US" sz="1400" b="0" i="1">
                                <a:latin typeface="Cambria Math"/>
                                <a:ea typeface="Cambria Math"/>
                              </a:rPr>
                              <m:t>𝑎</m:t>
                            </m:r>
                          </m:sub>
                        </m:sSub>
                        <m:sSup>
                          <m:sSupPr>
                            <m:ctrlPr>
                              <a:rPr lang="en-US" sz="1400" b="0" i="1">
                                <a:latin typeface="Cambria Math"/>
                                <a:ea typeface="Cambria Math"/>
                              </a:rPr>
                            </m:ctrlPr>
                          </m:sSupPr>
                          <m:e>
                            <m:d>
                              <m:dPr>
                                <m:ctrlPr>
                                  <a:rPr lang="en-US" sz="1400" b="0" i="1">
                                    <a:latin typeface="Cambria Math"/>
                                    <a:ea typeface="Cambria Math"/>
                                  </a:rPr>
                                </m:ctrlPr>
                              </m:dPr>
                              <m:e>
                                <m:f>
                                  <m:fPr>
                                    <m:ctrlPr>
                                      <a:rPr lang="en-US" sz="1400" b="0" i="1">
                                        <a:latin typeface="Cambria Math"/>
                                        <a:ea typeface="Cambria Math"/>
                                      </a:rPr>
                                    </m:ctrlPr>
                                  </m:fPr>
                                  <m:num>
                                    <m:sSub>
                                      <m:sSubPr>
                                        <m:ctrlPr>
                                          <a:rPr lang="en-US" sz="1400" b="0" i="1">
                                            <a:latin typeface="Cambria Math"/>
                                            <a:ea typeface="Cambria Math"/>
                                          </a:rPr>
                                        </m:ctrlPr>
                                      </m:sSubPr>
                                      <m:e>
                                        <m:r>
                                          <a:rPr lang="en-US" sz="1400" b="0" i="1">
                                            <a:latin typeface="Cambria Math"/>
                                            <a:ea typeface="Cambria Math"/>
                                          </a:rPr>
                                          <m:t>𝑑</m:t>
                                        </m:r>
                                      </m:e>
                                      <m:sub>
                                        <m:r>
                                          <a:rPr lang="en-US" sz="1400" b="0" i="1">
                                            <a:latin typeface="Cambria Math"/>
                                            <a:ea typeface="Cambria Math"/>
                                          </a:rPr>
                                          <m:t>𝑏</m:t>
                                        </m:r>
                                      </m:sub>
                                    </m:sSub>
                                  </m:num>
                                  <m:den>
                                    <m:sSub>
                                      <m:sSubPr>
                                        <m:ctrlPr>
                                          <a:rPr lang="en-US" sz="1400" b="0" i="1">
                                            <a:latin typeface="Cambria Math"/>
                                            <a:ea typeface="Cambria Math"/>
                                          </a:rPr>
                                        </m:ctrlPr>
                                      </m:sSubPr>
                                      <m:e>
                                        <m:r>
                                          <a:rPr lang="en-US" sz="1400" b="0" i="1">
                                            <a:latin typeface="Cambria Math"/>
                                            <a:ea typeface="Cambria Math"/>
                                          </a:rPr>
                                          <m:t>𝑑</m:t>
                                        </m:r>
                                      </m:e>
                                      <m:sub>
                                        <m:r>
                                          <a:rPr lang="en-US" sz="1400" b="0" i="1">
                                            <a:latin typeface="Cambria Math"/>
                                            <a:ea typeface="Cambria Math"/>
                                          </a:rPr>
                                          <m:t>𝑎</m:t>
                                        </m:r>
                                      </m:sub>
                                    </m:sSub>
                                  </m:den>
                                </m:f>
                              </m:e>
                            </m:d>
                          </m:e>
                          <m:sup>
                            <m:r>
                              <a:rPr lang="en-US" sz="1400" b="0" i="1">
                                <a:latin typeface="Cambria Math"/>
                                <a:ea typeface="Cambria Math"/>
                              </a:rPr>
                              <m:t>2.497</m:t>
                            </m:r>
                          </m:sup>
                        </m:sSup>
                      </m:den>
                    </m:f>
                  </m:oMath>
                </m:oMathPara>
              </a14:m>
              <a:endParaRPr lang="en-US" sz="1400"/>
            </a:p>
          </xdr:txBody>
        </xdr:sp>
      </mc:Choice>
      <mc:Fallback xmlns="">
        <xdr:sp macro="" textlink="">
          <xdr:nvSpPr>
            <xdr:cNvPr id="3" name="TextBox 2"/>
            <xdr:cNvSpPr txBox="1"/>
          </xdr:nvSpPr>
          <xdr:spPr>
            <a:xfrm>
              <a:off x="647699" y="3019425"/>
              <a:ext cx="2438401" cy="784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i="0">
                  <a:latin typeface="Cambria Math"/>
                  <a:ea typeface="Cambria Math"/>
                </a:rPr>
                <a:t>𝜃</a:t>
              </a:r>
              <a:r>
                <a:rPr lang="en-US" sz="1400" b="0" i="0">
                  <a:latin typeface="Cambria Math"/>
                  <a:ea typeface="Cambria Math"/>
                </a:rPr>
                <a:t>_𝑚𝑎𝑥=(𝑃𝐿^2)/(2.068𝐸𝐼_𝑎 (𝑑_𝑏/𝑑_𝑎 )^2.497 )</a:t>
              </a:r>
              <a:endParaRPr lang="en-US" sz="14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13</xdr:row>
      <xdr:rowOff>0</xdr:rowOff>
    </xdr:from>
    <xdr:to>
      <xdr:col>2</xdr:col>
      <xdr:colOff>59711</xdr:colOff>
      <xdr:row>20</xdr:row>
      <xdr:rowOff>85725</xdr:rowOff>
    </xdr:to>
    <xdr:pic>
      <xdr:nvPicPr>
        <xdr:cNvPr id="8" name="Picture 7"/>
        <xdr:cNvPicPr>
          <a:picLocks noChangeAspect="1"/>
        </xdr:cNvPicPr>
      </xdr:nvPicPr>
      <xdr:blipFill>
        <a:blip xmlns:r="http://schemas.openxmlformats.org/officeDocument/2006/relationships" r:embed="rId1"/>
        <a:stretch>
          <a:fillRect/>
        </a:stretch>
      </xdr:blipFill>
      <xdr:spPr>
        <a:xfrm>
          <a:off x="238124" y="2667000"/>
          <a:ext cx="4279287" cy="1419225"/>
        </a:xfrm>
        <a:prstGeom prst="rect">
          <a:avLst/>
        </a:prstGeom>
      </xdr:spPr>
    </xdr:pic>
    <xdr:clientData/>
  </xdr:twoCellAnchor>
  <xdr:twoCellAnchor editAs="oneCell">
    <xdr:from>
      <xdr:col>2</xdr:col>
      <xdr:colOff>123825</xdr:colOff>
      <xdr:row>11</xdr:row>
      <xdr:rowOff>161925</xdr:rowOff>
    </xdr:from>
    <xdr:to>
      <xdr:col>7</xdr:col>
      <xdr:colOff>199780</xdr:colOff>
      <xdr:row>21</xdr:row>
      <xdr:rowOff>9306</xdr:rowOff>
    </xdr:to>
    <xdr:pic>
      <xdr:nvPicPr>
        <xdr:cNvPr id="9" name="Picture 8"/>
        <xdr:cNvPicPr>
          <a:picLocks noChangeAspect="1"/>
        </xdr:cNvPicPr>
      </xdr:nvPicPr>
      <xdr:blipFill>
        <a:blip xmlns:r="http://schemas.openxmlformats.org/officeDocument/2006/relationships" r:embed="rId2"/>
        <a:stretch>
          <a:fillRect/>
        </a:stretch>
      </xdr:blipFill>
      <xdr:spPr>
        <a:xfrm>
          <a:off x="4581525" y="2409825"/>
          <a:ext cx="1961905" cy="17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6"/>
  <sheetViews>
    <sheetView workbookViewId="0">
      <selection activeCell="A16" sqref="A16"/>
    </sheetView>
  </sheetViews>
  <sheetFormatPr defaultRowHeight="15" x14ac:dyDescent="0.25"/>
  <cols>
    <col min="1" max="1" width="110.28515625" style="1" customWidth="1"/>
  </cols>
  <sheetData>
    <row r="1" spans="1:1" x14ac:dyDescent="0.25">
      <c r="A1" s="87"/>
    </row>
    <row r="3" spans="1:1" ht="180.75" x14ac:dyDescent="0.25">
      <c r="A3" s="194" t="s">
        <v>790</v>
      </c>
    </row>
    <row r="4" spans="1:1" ht="45.75" x14ac:dyDescent="0.25">
      <c r="A4" s="195" t="s">
        <v>789</v>
      </c>
    </row>
    <row r="6" spans="1:1" ht="31.5" x14ac:dyDescent="0.5">
      <c r="A6" s="88" t="s">
        <v>443</v>
      </c>
    </row>
    <row r="9" spans="1:1" ht="45" x14ac:dyDescent="0.25">
      <c r="A9" s="87" t="s">
        <v>569</v>
      </c>
    </row>
    <row r="15" spans="1:1" x14ac:dyDescent="0.25">
      <c r="A15" s="1" t="s">
        <v>570</v>
      </c>
    </row>
    <row r="16" spans="1:1" ht="165" x14ac:dyDescent="0.35">
      <c r="A16" s="130" t="s">
        <v>788</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0"/>
  <sheetViews>
    <sheetView workbookViewId="0">
      <selection sqref="A1:G1"/>
    </sheetView>
  </sheetViews>
  <sheetFormatPr defaultColWidth="21.5703125" defaultRowHeight="15" x14ac:dyDescent="0.25"/>
  <cols>
    <col min="1" max="1" width="21.85546875" style="16" customWidth="1"/>
    <col min="2" max="7" width="19.5703125" style="16" customWidth="1"/>
    <col min="8" max="16384" width="21.5703125" style="16"/>
  </cols>
  <sheetData>
    <row r="1" spans="1:8" ht="19.5" thickBot="1" x14ac:dyDescent="0.35">
      <c r="A1" s="224" t="s">
        <v>251</v>
      </c>
      <c r="B1" s="225"/>
      <c r="C1" s="225"/>
      <c r="D1" s="225"/>
      <c r="E1" s="225"/>
      <c r="F1" s="225"/>
      <c r="G1" s="226"/>
    </row>
    <row r="2" spans="1:8" ht="104.25" customHeight="1" x14ac:dyDescent="0.25">
      <c r="A2" s="232" t="s">
        <v>252</v>
      </c>
      <c r="B2" s="230" t="s">
        <v>253</v>
      </c>
      <c r="C2" s="230" t="s">
        <v>254</v>
      </c>
      <c r="D2" s="230" t="s">
        <v>255</v>
      </c>
      <c r="E2" s="230" t="s">
        <v>256</v>
      </c>
      <c r="F2" s="230" t="s">
        <v>257</v>
      </c>
      <c r="G2" s="231"/>
    </row>
    <row r="3" spans="1:8" ht="75.75" thickBot="1" x14ac:dyDescent="0.3">
      <c r="A3" s="233"/>
      <c r="B3" s="234"/>
      <c r="C3" s="234"/>
      <c r="D3" s="234"/>
      <c r="E3" s="234"/>
      <c r="F3" s="150" t="s">
        <v>258</v>
      </c>
      <c r="G3" s="151" t="s">
        <v>259</v>
      </c>
    </row>
    <row r="4" spans="1:8" ht="15.75" thickBot="1" x14ac:dyDescent="0.3">
      <c r="A4" s="227" t="s">
        <v>260</v>
      </c>
      <c r="B4" s="228"/>
      <c r="C4" s="228"/>
      <c r="D4" s="228"/>
      <c r="E4" s="228"/>
      <c r="F4" s="228"/>
      <c r="G4" s="229"/>
    </row>
    <row r="5" spans="1:8" ht="75" x14ac:dyDescent="0.25">
      <c r="A5" s="152" t="s">
        <v>261</v>
      </c>
      <c r="B5" s="153">
        <v>23.5</v>
      </c>
      <c r="C5" s="153">
        <v>24</v>
      </c>
      <c r="D5" s="153">
        <v>24.5</v>
      </c>
      <c r="E5" s="153">
        <v>26.5</v>
      </c>
      <c r="F5" s="153">
        <v>22</v>
      </c>
      <c r="G5" s="154">
        <v>22</v>
      </c>
    </row>
    <row r="6" spans="1:8" ht="45" x14ac:dyDescent="0.25">
      <c r="A6" s="144" t="s">
        <v>262</v>
      </c>
      <c r="B6" s="141">
        <v>15.5</v>
      </c>
      <c r="C6" s="141">
        <v>16</v>
      </c>
      <c r="D6" s="141">
        <v>16.5</v>
      </c>
      <c r="E6" s="141">
        <v>18.5</v>
      </c>
      <c r="F6" s="141">
        <v>18</v>
      </c>
      <c r="G6" s="143">
        <v>20</v>
      </c>
    </row>
    <row r="7" spans="1:8" ht="30" x14ac:dyDescent="0.25">
      <c r="A7" s="144" t="s">
        <v>263</v>
      </c>
      <c r="B7" s="141">
        <v>15.5</v>
      </c>
      <c r="C7" s="141">
        <v>16</v>
      </c>
      <c r="D7" s="141">
        <v>16.5</v>
      </c>
      <c r="E7" s="141">
        <v>18.5</v>
      </c>
      <c r="F7" s="141">
        <v>18</v>
      </c>
      <c r="G7" s="143">
        <v>20</v>
      </c>
    </row>
    <row r="8" spans="1:8" ht="75" x14ac:dyDescent="0.25">
      <c r="A8" s="144" t="s">
        <v>264</v>
      </c>
      <c r="B8" s="141">
        <v>15.5</v>
      </c>
      <c r="C8" s="141">
        <v>16</v>
      </c>
      <c r="D8" s="141">
        <v>16.5</v>
      </c>
      <c r="E8" s="141">
        <v>18.5</v>
      </c>
      <c r="F8" s="141" t="s">
        <v>265</v>
      </c>
      <c r="G8" s="143" t="s">
        <v>265</v>
      </c>
    </row>
    <row r="9" spans="1:8" ht="60" x14ac:dyDescent="0.25">
      <c r="A9" s="144" t="s">
        <v>266</v>
      </c>
      <c r="B9" s="141">
        <v>9.5</v>
      </c>
      <c r="C9" s="141">
        <v>12</v>
      </c>
      <c r="D9" s="141">
        <v>12.5</v>
      </c>
      <c r="E9" s="141">
        <v>14.5</v>
      </c>
      <c r="F9" s="141">
        <v>16</v>
      </c>
      <c r="G9" s="143">
        <v>18</v>
      </c>
    </row>
    <row r="10" spans="1:8" ht="60" x14ac:dyDescent="0.25">
      <c r="A10" s="144" t="s">
        <v>267</v>
      </c>
      <c r="B10" s="141">
        <v>14</v>
      </c>
      <c r="C10" s="141">
        <v>14.5</v>
      </c>
      <c r="D10" s="141">
        <v>15</v>
      </c>
      <c r="E10" s="141">
        <v>17</v>
      </c>
      <c r="F10" s="141" t="s">
        <v>265</v>
      </c>
      <c r="G10" s="143" t="s">
        <v>265</v>
      </c>
    </row>
    <row r="11" spans="1:8" ht="135" x14ac:dyDescent="0.25">
      <c r="A11" s="144" t="s">
        <v>272</v>
      </c>
      <c r="B11" s="141"/>
      <c r="C11" s="141"/>
      <c r="D11" s="141"/>
      <c r="E11" s="141"/>
      <c r="F11" s="141"/>
      <c r="G11" s="143"/>
    </row>
    <row r="12" spans="1:8" x14ac:dyDescent="0.25">
      <c r="A12" s="144" t="s">
        <v>269</v>
      </c>
      <c r="B12" s="141">
        <v>17.5</v>
      </c>
      <c r="C12" s="141">
        <v>18</v>
      </c>
      <c r="D12" s="141">
        <v>18.5</v>
      </c>
      <c r="E12" s="141">
        <v>20.5</v>
      </c>
      <c r="F12" s="141"/>
      <c r="G12" s="143"/>
    </row>
    <row r="13" spans="1:8" x14ac:dyDescent="0.25">
      <c r="A13" s="144" t="s">
        <v>270</v>
      </c>
      <c r="B13" s="141">
        <v>25.5</v>
      </c>
      <c r="C13" s="141">
        <v>26</v>
      </c>
      <c r="D13" s="141">
        <v>26.5</v>
      </c>
      <c r="E13" s="141">
        <v>28.5</v>
      </c>
      <c r="F13" s="141"/>
      <c r="G13" s="143"/>
    </row>
    <row r="14" spans="1:8" ht="30" x14ac:dyDescent="0.25">
      <c r="A14" s="144" t="s">
        <v>278</v>
      </c>
      <c r="B14" s="141">
        <v>31.5</v>
      </c>
      <c r="C14" s="141">
        <v>32</v>
      </c>
      <c r="D14" s="141">
        <v>32.5</v>
      </c>
      <c r="E14" s="141">
        <v>34.5</v>
      </c>
      <c r="F14" s="141"/>
      <c r="G14" s="143"/>
    </row>
    <row r="15" spans="1:8" x14ac:dyDescent="0.25">
      <c r="A15" s="144" t="s">
        <v>271</v>
      </c>
      <c r="B15" s="141">
        <v>37.5</v>
      </c>
      <c r="C15" s="141">
        <v>38</v>
      </c>
      <c r="D15" s="141">
        <v>38.5</v>
      </c>
      <c r="E15" s="141">
        <v>40.5</v>
      </c>
      <c r="F15" s="141"/>
      <c r="G15" s="143"/>
    </row>
    <row r="16" spans="1:8" ht="90" x14ac:dyDescent="0.25">
      <c r="A16" s="145" t="s">
        <v>273</v>
      </c>
      <c r="B16" s="220" t="s">
        <v>274</v>
      </c>
      <c r="C16" s="220"/>
      <c r="D16" s="220"/>
      <c r="E16" s="220"/>
      <c r="F16" s="220"/>
      <c r="G16" s="221"/>
      <c r="H16" s="15"/>
    </row>
    <row r="17" spans="1:8" ht="31.5" customHeight="1" x14ac:dyDescent="0.25">
      <c r="A17" s="222" t="s">
        <v>277</v>
      </c>
      <c r="B17" s="220"/>
      <c r="C17" s="220"/>
      <c r="D17" s="220"/>
      <c r="E17" s="220"/>
      <c r="F17" s="220"/>
      <c r="G17" s="221"/>
      <c r="H17" s="15"/>
    </row>
    <row r="18" spans="1:8" ht="30" x14ac:dyDescent="0.25">
      <c r="A18" s="145" t="s">
        <v>275</v>
      </c>
      <c r="B18" s="142">
        <v>15.5</v>
      </c>
      <c r="C18" s="142">
        <v>16</v>
      </c>
      <c r="D18" s="142">
        <v>16.5</v>
      </c>
      <c r="E18" s="142">
        <v>18.5</v>
      </c>
      <c r="F18" s="142">
        <v>18</v>
      </c>
      <c r="G18" s="146">
        <v>20</v>
      </c>
    </row>
    <row r="19" spans="1:8" ht="75.75" thickBot="1" x14ac:dyDescent="0.3">
      <c r="A19" s="147" t="s">
        <v>276</v>
      </c>
      <c r="B19" s="148">
        <v>13.5</v>
      </c>
      <c r="C19" s="148">
        <v>14</v>
      </c>
      <c r="D19" s="148">
        <v>14.5</v>
      </c>
      <c r="E19" s="148">
        <v>16.5</v>
      </c>
      <c r="F19" s="148">
        <v>18</v>
      </c>
      <c r="G19" s="149">
        <v>20</v>
      </c>
    </row>
    <row r="20" spans="1:8" ht="30.75" customHeight="1" x14ac:dyDescent="0.25">
      <c r="A20" s="223" t="s">
        <v>268</v>
      </c>
      <c r="B20" s="223"/>
      <c r="C20" s="223"/>
      <c r="D20" s="223"/>
      <c r="E20" s="223"/>
      <c r="F20" s="223"/>
      <c r="G20" s="223"/>
    </row>
  </sheetData>
  <mergeCells count="11">
    <mergeCell ref="B16:G16"/>
    <mergeCell ref="A17:G17"/>
    <mergeCell ref="A20:G20"/>
    <mergeCell ref="A1:G1"/>
    <mergeCell ref="A4:G4"/>
    <mergeCell ref="F2:G2"/>
    <mergeCell ref="A2:A3"/>
    <mergeCell ref="B2:B3"/>
    <mergeCell ref="C2:C3"/>
    <mergeCell ref="D2:D3"/>
    <mergeCell ref="E2: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1"/>
  <sheetViews>
    <sheetView workbookViewId="0"/>
  </sheetViews>
  <sheetFormatPr defaultRowHeight="15" x14ac:dyDescent="0.25"/>
  <cols>
    <col min="1" max="1" width="22.85546875" bestFit="1" customWidth="1"/>
    <col min="2" max="2" width="30.7109375" customWidth="1"/>
    <col min="3" max="4" width="13.7109375" customWidth="1"/>
    <col min="6" max="6" width="21.5703125" bestFit="1" customWidth="1"/>
  </cols>
  <sheetData>
    <row r="1" spans="1:5" ht="15.75" x14ac:dyDescent="0.25">
      <c r="B1" s="235" t="s">
        <v>344</v>
      </c>
      <c r="C1" s="236"/>
      <c r="D1" s="237"/>
    </row>
    <row r="2" spans="1:5" ht="15.75" x14ac:dyDescent="0.25">
      <c r="B2" s="43" t="s">
        <v>312</v>
      </c>
      <c r="C2" s="44"/>
      <c r="D2" s="45"/>
      <c r="E2" s="27"/>
    </row>
    <row r="3" spans="1:5" ht="16.5" thickBot="1" x14ac:dyDescent="0.3">
      <c r="B3" s="43" t="s">
        <v>303</v>
      </c>
      <c r="C3" s="44"/>
      <c r="D3" s="45"/>
    </row>
    <row r="4" spans="1:5" ht="35.25" customHeight="1" x14ac:dyDescent="0.25">
      <c r="B4" s="36"/>
      <c r="C4" s="241" t="s">
        <v>412</v>
      </c>
      <c r="D4" s="242"/>
    </row>
    <row r="5" spans="1:5" ht="16.5" thickBot="1" x14ac:dyDescent="0.3">
      <c r="B5" s="63"/>
      <c r="C5" s="64" t="s">
        <v>346</v>
      </c>
      <c r="D5" s="65" t="s">
        <v>411</v>
      </c>
    </row>
    <row r="6" spans="1:5" ht="16.5" thickBot="1" x14ac:dyDescent="0.3">
      <c r="A6" s="85" t="s">
        <v>304</v>
      </c>
      <c r="B6" s="66" t="s">
        <v>307</v>
      </c>
      <c r="C6" s="67">
        <v>1.5</v>
      </c>
      <c r="D6" s="68">
        <v>1.5</v>
      </c>
    </row>
    <row r="7" spans="1:5" ht="15.75" x14ac:dyDescent="0.25">
      <c r="A7" s="238" t="s">
        <v>305</v>
      </c>
      <c r="B7" s="69" t="s">
        <v>5</v>
      </c>
      <c r="C7" s="70">
        <v>2.5</v>
      </c>
      <c r="D7" s="71">
        <v>2.2000000000000002</v>
      </c>
    </row>
    <row r="8" spans="1:5" ht="16.5" thickBot="1" x14ac:dyDescent="0.3">
      <c r="A8" s="239"/>
      <c r="B8" s="42" t="s">
        <v>308</v>
      </c>
      <c r="C8" s="37">
        <v>1.65</v>
      </c>
      <c r="D8" s="38">
        <v>1.3</v>
      </c>
    </row>
    <row r="9" spans="1:5" ht="15.75" x14ac:dyDescent="0.25">
      <c r="A9" s="238" t="s">
        <v>306</v>
      </c>
      <c r="B9" s="69" t="s">
        <v>309</v>
      </c>
      <c r="C9" s="70">
        <v>1.1000000000000001</v>
      </c>
      <c r="D9" s="71" t="s">
        <v>313</v>
      </c>
    </row>
    <row r="10" spans="1:5" ht="15.75" x14ac:dyDescent="0.25">
      <c r="A10" s="240"/>
      <c r="B10" s="39" t="s">
        <v>310</v>
      </c>
      <c r="C10" s="40">
        <v>1.65</v>
      </c>
      <c r="D10" s="41">
        <v>1.3</v>
      </c>
    </row>
    <row r="11" spans="1:5" ht="16.5" thickBot="1" x14ac:dyDescent="0.3">
      <c r="A11" s="239"/>
      <c r="B11" s="42" t="s">
        <v>311</v>
      </c>
      <c r="C11" s="37">
        <v>1.65</v>
      </c>
      <c r="D11" s="38">
        <v>1.1000000000000001</v>
      </c>
    </row>
  </sheetData>
  <mergeCells count="4">
    <mergeCell ref="B1:D1"/>
    <mergeCell ref="A7:A8"/>
    <mergeCell ref="A9:A11"/>
    <mergeCell ref="C4: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6"/>
  <sheetViews>
    <sheetView workbookViewId="0"/>
  </sheetViews>
  <sheetFormatPr defaultRowHeight="15" x14ac:dyDescent="0.25"/>
  <cols>
    <col min="1" max="1" width="16.42578125" customWidth="1"/>
    <col min="2" max="2" width="61.5703125" style="35" customWidth="1"/>
    <col min="3" max="4" width="12.140625" style="57" bestFit="1" customWidth="1"/>
    <col min="5" max="5" width="14.7109375" bestFit="1" customWidth="1"/>
    <col min="6" max="6" width="35.5703125" bestFit="1" customWidth="1"/>
    <col min="7" max="7" width="9" bestFit="1" customWidth="1"/>
    <col min="8" max="8" width="9.28515625" bestFit="1" customWidth="1"/>
    <col min="9" max="9" width="8.5703125" bestFit="1" customWidth="1"/>
    <col min="10" max="10" width="13.140625" bestFit="1" customWidth="1"/>
    <col min="11" max="11" width="34.5703125" bestFit="1" customWidth="1"/>
    <col min="12" max="13" width="5.42578125" bestFit="1" customWidth="1"/>
  </cols>
  <sheetData>
    <row r="1" spans="1:4" ht="15.75" x14ac:dyDescent="0.25">
      <c r="B1" s="248" t="s">
        <v>340</v>
      </c>
      <c r="C1" s="248"/>
      <c r="D1" s="248"/>
    </row>
    <row r="2" spans="1:4" ht="15.75" x14ac:dyDescent="0.25">
      <c r="B2" s="248" t="s">
        <v>341</v>
      </c>
      <c r="C2" s="248"/>
      <c r="D2" s="248"/>
    </row>
    <row r="3" spans="1:4" ht="15.75" x14ac:dyDescent="0.25">
      <c r="B3" s="248" t="s">
        <v>342</v>
      </c>
      <c r="C3" s="248"/>
      <c r="D3" s="248"/>
    </row>
    <row r="4" spans="1:4" ht="16.5" thickBot="1" x14ac:dyDescent="0.3">
      <c r="B4" s="249" t="s">
        <v>343</v>
      </c>
      <c r="C4" s="249"/>
      <c r="D4" s="249"/>
    </row>
    <row r="5" spans="1:4" ht="16.5" thickBot="1" x14ac:dyDescent="0.3">
      <c r="B5" s="72"/>
      <c r="C5" s="246" t="s">
        <v>417</v>
      </c>
      <c r="D5" s="247"/>
    </row>
    <row r="6" spans="1:4" ht="16.5" thickBot="1" x14ac:dyDescent="0.3">
      <c r="B6" s="73"/>
      <c r="C6" s="74" t="s">
        <v>346</v>
      </c>
      <c r="D6" s="75" t="s">
        <v>411</v>
      </c>
    </row>
    <row r="7" spans="1:4" ht="15.75" x14ac:dyDescent="0.25">
      <c r="A7" s="243" t="s">
        <v>331</v>
      </c>
      <c r="B7" s="79" t="s">
        <v>333</v>
      </c>
      <c r="C7" s="82">
        <v>1</v>
      </c>
      <c r="D7" s="76">
        <v>1</v>
      </c>
    </row>
    <row r="8" spans="1:4" ht="15.75" x14ac:dyDescent="0.25">
      <c r="A8" s="244"/>
      <c r="B8" s="80" t="s">
        <v>334</v>
      </c>
      <c r="C8" s="83">
        <v>0.65</v>
      </c>
      <c r="D8" s="77">
        <v>0.85</v>
      </c>
    </row>
    <row r="9" spans="1:4" ht="15.75" x14ac:dyDescent="0.25">
      <c r="A9" s="244"/>
      <c r="B9" s="80" t="s">
        <v>335</v>
      </c>
      <c r="C9" s="83">
        <v>1</v>
      </c>
      <c r="D9" s="77">
        <v>1</v>
      </c>
    </row>
    <row r="10" spans="1:4" ht="15.75" x14ac:dyDescent="0.25">
      <c r="A10" s="244"/>
      <c r="B10" s="80" t="s">
        <v>336</v>
      </c>
      <c r="C10" s="83">
        <v>0.9</v>
      </c>
      <c r="D10" s="77">
        <v>0.9</v>
      </c>
    </row>
    <row r="11" spans="1:4" ht="16.5" thickBot="1" x14ac:dyDescent="0.3">
      <c r="A11" s="245"/>
      <c r="B11" s="81" t="s">
        <v>337</v>
      </c>
      <c r="C11" s="84">
        <v>1</v>
      </c>
      <c r="D11" s="78">
        <v>1</v>
      </c>
    </row>
    <row r="12" spans="1:4" ht="15.75" x14ac:dyDescent="0.25">
      <c r="A12" s="243" t="s">
        <v>332</v>
      </c>
      <c r="B12" s="79" t="s">
        <v>333</v>
      </c>
      <c r="C12" s="82">
        <v>1</v>
      </c>
      <c r="D12" s="76">
        <v>1</v>
      </c>
    </row>
    <row r="13" spans="1:4" ht="15.75" x14ac:dyDescent="0.25">
      <c r="A13" s="244"/>
      <c r="B13" s="80" t="s">
        <v>334</v>
      </c>
      <c r="C13" s="83">
        <v>0.75</v>
      </c>
      <c r="D13" s="77">
        <v>0.75</v>
      </c>
    </row>
    <row r="14" spans="1:4" ht="15.75" x14ac:dyDescent="0.25">
      <c r="A14" s="244"/>
      <c r="B14" s="80" t="s">
        <v>338</v>
      </c>
      <c r="C14" s="83">
        <v>1</v>
      </c>
      <c r="D14" s="77">
        <v>1</v>
      </c>
    </row>
    <row r="15" spans="1:4" ht="15.75" x14ac:dyDescent="0.25">
      <c r="A15" s="244"/>
      <c r="B15" s="80" t="s">
        <v>339</v>
      </c>
      <c r="C15" s="83">
        <v>0.9</v>
      </c>
      <c r="D15" s="77">
        <v>0.9</v>
      </c>
    </row>
    <row r="16" spans="1:4" ht="16.5" thickBot="1" x14ac:dyDescent="0.3">
      <c r="A16" s="245"/>
      <c r="B16" s="81" t="s">
        <v>337</v>
      </c>
      <c r="C16" s="84">
        <v>1</v>
      </c>
      <c r="D16" s="78">
        <v>1</v>
      </c>
    </row>
  </sheetData>
  <mergeCells count="7">
    <mergeCell ref="A7:A11"/>
    <mergeCell ref="A12:A16"/>
    <mergeCell ref="C5:D5"/>
    <mergeCell ref="B1:D1"/>
    <mergeCell ref="B2:D2"/>
    <mergeCell ref="B3:D3"/>
    <mergeCell ref="B4:D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59"/>
  <sheetViews>
    <sheetView workbookViewId="0">
      <selection activeCell="J62" sqref="J62"/>
    </sheetView>
  </sheetViews>
  <sheetFormatPr defaultColWidth="10.85546875" defaultRowHeight="15" x14ac:dyDescent="0.25"/>
  <cols>
    <col min="1" max="1" width="11.7109375" style="55" bestFit="1" customWidth="1"/>
    <col min="2" max="2" width="10.28515625" style="55" bestFit="1" customWidth="1"/>
    <col min="3" max="3" width="5.42578125" style="123" bestFit="1" customWidth="1"/>
    <col min="4" max="5" width="9.28515625" style="55" bestFit="1" customWidth="1"/>
    <col min="6" max="6" width="11.85546875" style="55" bestFit="1" customWidth="1"/>
    <col min="7" max="7" width="10.7109375" style="55" bestFit="1" customWidth="1"/>
    <col min="8" max="9" width="11.85546875" style="55" bestFit="1" customWidth="1"/>
    <col min="10" max="10" width="8.42578125" bestFit="1" customWidth="1"/>
  </cols>
  <sheetData>
    <row r="1" spans="1:10" ht="21" x14ac:dyDescent="0.35">
      <c r="A1" s="250" t="s">
        <v>444</v>
      </c>
      <c r="B1" s="250"/>
      <c r="C1" s="250"/>
      <c r="D1" s="250"/>
      <c r="E1" s="250"/>
      <c r="F1" s="250"/>
      <c r="G1" s="250"/>
      <c r="H1" s="250"/>
      <c r="I1" s="250"/>
      <c r="J1" s="250"/>
    </row>
    <row r="2" spans="1:10" s="3" customFormat="1" ht="60" x14ac:dyDescent="0.25">
      <c r="A2" s="56" t="s">
        <v>374</v>
      </c>
      <c r="B2" s="56" t="s">
        <v>762</v>
      </c>
      <c r="C2" s="124" t="s">
        <v>1</v>
      </c>
      <c r="D2" s="56" t="s">
        <v>764</v>
      </c>
      <c r="E2" s="56" t="s">
        <v>763</v>
      </c>
      <c r="F2" s="131" t="s">
        <v>765</v>
      </c>
      <c r="G2" s="56" t="s">
        <v>373</v>
      </c>
      <c r="H2" s="56" t="s">
        <v>410</v>
      </c>
      <c r="I2" s="56" t="s">
        <v>372</v>
      </c>
      <c r="J2" s="3" t="s">
        <v>747</v>
      </c>
    </row>
    <row r="3" spans="1:10" s="3" customFormat="1" x14ac:dyDescent="0.25">
      <c r="A3" s="123" t="s">
        <v>375</v>
      </c>
      <c r="B3" s="123">
        <v>30</v>
      </c>
      <c r="C3" s="124" t="s">
        <v>752</v>
      </c>
      <c r="D3" s="123">
        <v>6</v>
      </c>
      <c r="E3" s="123">
        <v>10.199999999999999</v>
      </c>
      <c r="F3" s="123">
        <v>0.188</v>
      </c>
      <c r="G3" s="123">
        <v>68.010000000000005</v>
      </c>
      <c r="H3" s="123">
        <v>506</v>
      </c>
      <c r="I3" s="123">
        <v>5</v>
      </c>
      <c r="J3" s="3" t="s">
        <v>748</v>
      </c>
    </row>
    <row r="4" spans="1:10" s="3" customFormat="1" x14ac:dyDescent="0.25">
      <c r="A4" s="123" t="s">
        <v>376</v>
      </c>
      <c r="B4" s="123">
        <v>35</v>
      </c>
      <c r="C4" s="124" t="s">
        <v>752</v>
      </c>
      <c r="D4" s="123">
        <v>6.4</v>
      </c>
      <c r="E4" s="123">
        <v>11.3</v>
      </c>
      <c r="F4" s="123">
        <v>0.188</v>
      </c>
      <c r="G4" s="123">
        <v>84.04</v>
      </c>
      <c r="H4" s="123">
        <v>645</v>
      </c>
      <c r="I4" s="123">
        <v>5.5</v>
      </c>
      <c r="J4" s="3" t="s">
        <v>748</v>
      </c>
    </row>
    <row r="5" spans="1:10" s="3" customFormat="1" x14ac:dyDescent="0.25">
      <c r="A5" s="123" t="s">
        <v>377</v>
      </c>
      <c r="B5" s="123">
        <v>40</v>
      </c>
      <c r="C5" s="124" t="s">
        <v>752</v>
      </c>
      <c r="D5" s="123">
        <v>6.4</v>
      </c>
      <c r="E5" s="123">
        <v>12</v>
      </c>
      <c r="F5" s="123">
        <v>0.188</v>
      </c>
      <c r="G5" s="123">
        <v>94.69</v>
      </c>
      <c r="H5" s="123">
        <v>766</v>
      </c>
      <c r="I5" s="123">
        <v>6</v>
      </c>
      <c r="J5" s="3" t="s">
        <v>748</v>
      </c>
    </row>
    <row r="6" spans="1:10" s="3" customFormat="1" x14ac:dyDescent="0.25">
      <c r="A6" s="123" t="s">
        <v>378</v>
      </c>
      <c r="B6" s="123">
        <v>45</v>
      </c>
      <c r="C6" s="124" t="s">
        <v>752</v>
      </c>
      <c r="D6" s="123">
        <v>6.4</v>
      </c>
      <c r="E6" s="123">
        <v>12.7</v>
      </c>
      <c r="F6" s="123">
        <v>0.188</v>
      </c>
      <c r="G6" s="123">
        <v>105.97</v>
      </c>
      <c r="H6" s="123">
        <v>895</v>
      </c>
      <c r="I6" s="123">
        <v>6.5</v>
      </c>
      <c r="J6" s="3" t="s">
        <v>748</v>
      </c>
    </row>
    <row r="7" spans="1:10" s="3" customFormat="1" x14ac:dyDescent="0.25">
      <c r="A7" s="123" t="s">
        <v>379</v>
      </c>
      <c r="B7" s="123">
        <v>50</v>
      </c>
      <c r="C7" s="124" t="s">
        <v>752</v>
      </c>
      <c r="D7" s="123">
        <v>7.2</v>
      </c>
      <c r="E7" s="123">
        <v>13.68</v>
      </c>
      <c r="F7" s="123">
        <v>0.188</v>
      </c>
      <c r="G7" s="123">
        <v>123.46</v>
      </c>
      <c r="H7" s="123">
        <v>1132</v>
      </c>
      <c r="I7" s="123">
        <v>7</v>
      </c>
      <c r="J7" s="3" t="s">
        <v>748</v>
      </c>
    </row>
    <row r="8" spans="1:10" s="3" customFormat="1" x14ac:dyDescent="0.25">
      <c r="A8" s="123" t="s">
        <v>380</v>
      </c>
      <c r="B8" s="123">
        <v>55</v>
      </c>
      <c r="C8" s="124" t="s">
        <v>752</v>
      </c>
      <c r="D8" s="123">
        <v>7.2</v>
      </c>
      <c r="E8" s="123">
        <v>14.38</v>
      </c>
      <c r="F8" s="123">
        <v>0.188</v>
      </c>
      <c r="G8" s="123">
        <v>136.30000000000001</v>
      </c>
      <c r="H8" s="123">
        <v>1278</v>
      </c>
      <c r="I8" s="123">
        <v>7.5</v>
      </c>
      <c r="J8" s="3" t="s">
        <v>748</v>
      </c>
    </row>
    <row r="9" spans="1:10" s="3" customFormat="1" x14ac:dyDescent="0.25">
      <c r="A9" s="123" t="s">
        <v>381</v>
      </c>
      <c r="B9" s="123">
        <v>60</v>
      </c>
      <c r="C9" s="124" t="s">
        <v>752</v>
      </c>
      <c r="D9" s="123">
        <v>7.2</v>
      </c>
      <c r="E9" s="123">
        <v>15.08</v>
      </c>
      <c r="F9" s="123">
        <v>0.188</v>
      </c>
      <c r="G9" s="123">
        <v>149.77000000000001</v>
      </c>
      <c r="H9" s="123">
        <v>1471</v>
      </c>
      <c r="I9" s="123">
        <v>8</v>
      </c>
      <c r="J9" s="3" t="s">
        <v>748</v>
      </c>
    </row>
    <row r="10" spans="1:10" s="3" customFormat="1" x14ac:dyDescent="0.25">
      <c r="A10" s="123" t="s">
        <v>382</v>
      </c>
      <c r="B10" s="123">
        <v>65</v>
      </c>
      <c r="C10" s="124" t="s">
        <v>752</v>
      </c>
      <c r="D10" s="123">
        <v>7.2</v>
      </c>
      <c r="E10" s="123">
        <v>15.78</v>
      </c>
      <c r="F10" s="123">
        <v>0.188</v>
      </c>
      <c r="G10" s="123">
        <v>163.87</v>
      </c>
      <c r="H10" s="123">
        <v>1631</v>
      </c>
      <c r="I10" s="123">
        <v>8.5</v>
      </c>
      <c r="J10" s="3" t="s">
        <v>748</v>
      </c>
    </row>
    <row r="11" spans="1:10" s="3" customFormat="1" x14ac:dyDescent="0.25">
      <c r="A11" s="123" t="s">
        <v>383</v>
      </c>
      <c r="B11" s="123">
        <v>70</v>
      </c>
      <c r="C11" s="124" t="s">
        <v>752</v>
      </c>
      <c r="D11" s="123">
        <v>7.2</v>
      </c>
      <c r="E11" s="123">
        <v>16.48</v>
      </c>
      <c r="F11" s="123">
        <v>0.188</v>
      </c>
      <c r="G11" s="123">
        <v>178.61</v>
      </c>
      <c r="H11" s="123">
        <v>1800</v>
      </c>
      <c r="I11" s="123">
        <v>9</v>
      </c>
      <c r="J11" s="3" t="s">
        <v>748</v>
      </c>
    </row>
    <row r="12" spans="1:10" s="3" customFormat="1" x14ac:dyDescent="0.25">
      <c r="A12" s="123" t="s">
        <v>384</v>
      </c>
      <c r="B12" s="123">
        <v>75</v>
      </c>
      <c r="C12" s="124" t="s">
        <v>752</v>
      </c>
      <c r="D12" s="123">
        <v>7.2</v>
      </c>
      <c r="E12" s="123">
        <v>17.18</v>
      </c>
      <c r="F12" s="123">
        <v>0.188</v>
      </c>
      <c r="G12" s="123">
        <v>193.99</v>
      </c>
      <c r="H12" s="123">
        <v>1975</v>
      </c>
      <c r="I12" s="123">
        <v>9.5</v>
      </c>
      <c r="J12" s="3" t="s">
        <v>748</v>
      </c>
    </row>
    <row r="13" spans="1:10" s="3" customFormat="1" x14ac:dyDescent="0.25">
      <c r="A13" s="123" t="s">
        <v>385</v>
      </c>
      <c r="B13" s="123">
        <v>80</v>
      </c>
      <c r="C13" s="124" t="s">
        <v>752</v>
      </c>
      <c r="D13" s="123">
        <v>7.2</v>
      </c>
      <c r="E13" s="123">
        <v>17.88</v>
      </c>
      <c r="F13" s="123">
        <v>0.188</v>
      </c>
      <c r="G13" s="123">
        <v>210</v>
      </c>
      <c r="H13" s="123">
        <v>2159</v>
      </c>
      <c r="I13" s="123">
        <v>10</v>
      </c>
      <c r="J13" s="3" t="s">
        <v>748</v>
      </c>
    </row>
    <row r="14" spans="1:10" s="3" customFormat="1" x14ac:dyDescent="0.25">
      <c r="A14" s="123" t="s">
        <v>386</v>
      </c>
      <c r="B14" s="123">
        <v>85</v>
      </c>
      <c r="C14" s="124" t="s">
        <v>752</v>
      </c>
      <c r="D14" s="123">
        <v>7.2</v>
      </c>
      <c r="E14" s="123">
        <v>18.579999999999998</v>
      </c>
      <c r="F14" s="123">
        <v>0.188</v>
      </c>
      <c r="G14" s="123">
        <v>226.64</v>
      </c>
      <c r="H14" s="123">
        <v>2350</v>
      </c>
      <c r="I14" s="123">
        <v>10.5</v>
      </c>
      <c r="J14" s="3" t="s">
        <v>748</v>
      </c>
    </row>
    <row r="15" spans="1:10" s="3" customFormat="1" x14ac:dyDescent="0.25">
      <c r="A15" s="123" t="s">
        <v>360</v>
      </c>
      <c r="B15" s="123">
        <v>30</v>
      </c>
      <c r="C15" s="124" t="s">
        <v>751</v>
      </c>
      <c r="D15" s="123">
        <v>7.1</v>
      </c>
      <c r="E15" s="123">
        <v>11.3</v>
      </c>
      <c r="F15" s="123">
        <v>0.12</v>
      </c>
      <c r="G15" s="123">
        <v>55.44</v>
      </c>
      <c r="H15" s="123">
        <v>374</v>
      </c>
      <c r="I15" s="123">
        <v>5</v>
      </c>
      <c r="J15" s="3" t="s">
        <v>748</v>
      </c>
    </row>
    <row r="16" spans="1:10" s="3" customFormat="1" x14ac:dyDescent="0.25">
      <c r="A16" s="123" t="s">
        <v>361</v>
      </c>
      <c r="B16" s="123">
        <v>35</v>
      </c>
      <c r="C16" s="124" t="s">
        <v>751</v>
      </c>
      <c r="D16" s="123">
        <v>7.5</v>
      </c>
      <c r="E16" s="123">
        <v>12.4</v>
      </c>
      <c r="F16" s="123">
        <v>0.12</v>
      </c>
      <c r="G16" s="123">
        <v>65.989999999999995</v>
      </c>
      <c r="H16" s="123">
        <v>471</v>
      </c>
      <c r="I16" s="123">
        <v>5.5</v>
      </c>
      <c r="J16" s="3" t="s">
        <v>748</v>
      </c>
    </row>
    <row r="17" spans="1:10" s="3" customFormat="1" x14ac:dyDescent="0.25">
      <c r="A17" s="123" t="s">
        <v>362</v>
      </c>
      <c r="B17" s="123">
        <v>40</v>
      </c>
      <c r="C17" s="124" t="s">
        <v>751</v>
      </c>
      <c r="D17" s="123">
        <v>8.3000000000000007</v>
      </c>
      <c r="E17" s="123">
        <v>13.9</v>
      </c>
      <c r="F17" s="123">
        <v>0.12</v>
      </c>
      <c r="G17" s="123">
        <v>80.84</v>
      </c>
      <c r="H17" s="123">
        <v>601</v>
      </c>
      <c r="I17" s="123">
        <v>6</v>
      </c>
      <c r="J17" s="3" t="s">
        <v>748</v>
      </c>
    </row>
    <row r="18" spans="1:10" s="3" customFormat="1" x14ac:dyDescent="0.25">
      <c r="A18" s="123" t="s">
        <v>363</v>
      </c>
      <c r="B18" s="123">
        <v>45</v>
      </c>
      <c r="C18" s="124" t="s">
        <v>751</v>
      </c>
      <c r="D18" s="123">
        <v>8.3000000000000007</v>
      </c>
      <c r="E18" s="123">
        <v>14.6</v>
      </c>
      <c r="F18" s="123">
        <v>0.12</v>
      </c>
      <c r="G18" s="123">
        <v>87.85</v>
      </c>
      <c r="H18" s="123">
        <v>697</v>
      </c>
      <c r="I18" s="123">
        <v>6.5</v>
      </c>
      <c r="J18" s="3" t="s">
        <v>748</v>
      </c>
    </row>
    <row r="19" spans="1:10" s="3" customFormat="1" x14ac:dyDescent="0.25">
      <c r="A19" s="123" t="s">
        <v>364</v>
      </c>
      <c r="B19" s="123">
        <v>50</v>
      </c>
      <c r="C19" s="124" t="s">
        <v>751</v>
      </c>
      <c r="D19" s="123">
        <v>6</v>
      </c>
      <c r="E19" s="123">
        <v>12.48</v>
      </c>
      <c r="F19" s="123">
        <v>0.188</v>
      </c>
      <c r="G19" s="123">
        <v>100.77</v>
      </c>
      <c r="H19" s="123">
        <v>994</v>
      </c>
      <c r="I19" s="123">
        <v>7</v>
      </c>
      <c r="J19" s="3" t="s">
        <v>748</v>
      </c>
    </row>
    <row r="20" spans="1:10" s="3" customFormat="1" x14ac:dyDescent="0.25">
      <c r="A20" s="123" t="s">
        <v>365</v>
      </c>
      <c r="B20" s="123">
        <v>55</v>
      </c>
      <c r="C20" s="124" t="s">
        <v>751</v>
      </c>
      <c r="D20" s="123">
        <v>6</v>
      </c>
      <c r="E20" s="123">
        <v>13.18</v>
      </c>
      <c r="F20" s="123">
        <v>0.188</v>
      </c>
      <c r="G20" s="123">
        <v>112.4</v>
      </c>
      <c r="H20" s="123">
        <v>1128</v>
      </c>
      <c r="I20" s="123">
        <v>7.5</v>
      </c>
      <c r="J20" s="3" t="s">
        <v>748</v>
      </c>
    </row>
    <row r="21" spans="1:10" s="3" customFormat="1" x14ac:dyDescent="0.25">
      <c r="A21" s="123" t="s">
        <v>366</v>
      </c>
      <c r="B21" s="123">
        <v>60</v>
      </c>
      <c r="C21" s="124" t="s">
        <v>751</v>
      </c>
      <c r="D21" s="123">
        <v>6</v>
      </c>
      <c r="E21" s="123">
        <v>13.88</v>
      </c>
      <c r="F21" s="123">
        <v>0.188</v>
      </c>
      <c r="G21" s="123">
        <v>124.66</v>
      </c>
      <c r="H21" s="123">
        <v>1305</v>
      </c>
      <c r="I21" s="123">
        <v>8</v>
      </c>
      <c r="J21" s="3" t="s">
        <v>748</v>
      </c>
    </row>
    <row r="22" spans="1:10" s="3" customFormat="1" x14ac:dyDescent="0.25">
      <c r="A22" s="123" t="s">
        <v>367</v>
      </c>
      <c r="B22" s="123">
        <v>65</v>
      </c>
      <c r="C22" s="124" t="s">
        <v>751</v>
      </c>
      <c r="D22" s="123">
        <v>6</v>
      </c>
      <c r="E22" s="123">
        <v>14.58</v>
      </c>
      <c r="F22" s="123">
        <v>0.188</v>
      </c>
      <c r="G22" s="123">
        <v>137.55000000000001</v>
      </c>
      <c r="H22" s="123">
        <v>1453</v>
      </c>
      <c r="I22" s="123">
        <v>8.5</v>
      </c>
      <c r="J22" s="3" t="s">
        <v>748</v>
      </c>
    </row>
    <row r="23" spans="1:10" s="3" customFormat="1" x14ac:dyDescent="0.25">
      <c r="A23" s="123" t="s">
        <v>368</v>
      </c>
      <c r="B23" s="123">
        <v>70</v>
      </c>
      <c r="C23" s="124" t="s">
        <v>751</v>
      </c>
      <c r="D23" s="123">
        <v>6</v>
      </c>
      <c r="E23" s="123">
        <v>15.28</v>
      </c>
      <c r="F23" s="123">
        <v>0.188</v>
      </c>
      <c r="G23" s="123">
        <v>151.08000000000001</v>
      </c>
      <c r="H23" s="123">
        <v>1610</v>
      </c>
      <c r="I23" s="123">
        <v>9</v>
      </c>
      <c r="J23" s="3" t="s">
        <v>748</v>
      </c>
    </row>
    <row r="24" spans="1:10" s="3" customFormat="1" x14ac:dyDescent="0.25">
      <c r="A24" s="123" t="s">
        <v>369</v>
      </c>
      <c r="B24" s="123">
        <v>75</v>
      </c>
      <c r="C24" s="124" t="s">
        <v>751</v>
      </c>
      <c r="D24" s="123">
        <v>6</v>
      </c>
      <c r="E24" s="123">
        <v>15.98</v>
      </c>
      <c r="F24" s="123">
        <v>0.188</v>
      </c>
      <c r="G24" s="123">
        <v>165.25</v>
      </c>
      <c r="H24" s="123">
        <v>1773</v>
      </c>
      <c r="I24" s="123">
        <v>9.5</v>
      </c>
      <c r="J24" s="3" t="s">
        <v>748</v>
      </c>
    </row>
    <row r="25" spans="1:10" s="3" customFormat="1" x14ac:dyDescent="0.25">
      <c r="A25" s="123" t="s">
        <v>370</v>
      </c>
      <c r="B25" s="123">
        <v>80</v>
      </c>
      <c r="C25" s="124" t="s">
        <v>751</v>
      </c>
      <c r="D25" s="123">
        <v>6</v>
      </c>
      <c r="E25" s="123">
        <v>16.68</v>
      </c>
      <c r="F25" s="123">
        <v>0.188</v>
      </c>
      <c r="G25" s="123">
        <v>180.05</v>
      </c>
      <c r="H25" s="123">
        <v>1944</v>
      </c>
      <c r="I25" s="123">
        <v>10</v>
      </c>
      <c r="J25" s="3" t="s">
        <v>748</v>
      </c>
    </row>
    <row r="26" spans="1:10" s="3" customFormat="1" x14ac:dyDescent="0.25">
      <c r="A26" s="124" t="s">
        <v>635</v>
      </c>
      <c r="B26" s="124">
        <v>30</v>
      </c>
      <c r="C26" s="124" t="s">
        <v>750</v>
      </c>
      <c r="D26" s="124">
        <v>5.9</v>
      </c>
      <c r="E26" s="124">
        <v>10.1</v>
      </c>
      <c r="F26" s="124">
        <v>0.12</v>
      </c>
      <c r="G26" s="124">
        <v>43.41</v>
      </c>
      <c r="H26" s="124">
        <v>324</v>
      </c>
      <c r="I26" s="124">
        <v>5</v>
      </c>
      <c r="J26" s="3" t="s">
        <v>748</v>
      </c>
    </row>
    <row r="27" spans="1:10" s="3" customFormat="1" x14ac:dyDescent="0.25">
      <c r="A27" s="124" t="s">
        <v>636</v>
      </c>
      <c r="B27" s="124">
        <v>35</v>
      </c>
      <c r="C27" s="124" t="s">
        <v>750</v>
      </c>
      <c r="D27" s="124">
        <v>6.3</v>
      </c>
      <c r="E27" s="124">
        <v>11.2</v>
      </c>
      <c r="F27" s="124">
        <v>0.12</v>
      </c>
      <c r="G27" s="124">
        <v>53.65</v>
      </c>
      <c r="H27" s="124">
        <v>413</v>
      </c>
      <c r="I27" s="124">
        <v>5.5</v>
      </c>
      <c r="J27" s="3" t="s">
        <v>748</v>
      </c>
    </row>
    <row r="28" spans="1:10" s="3" customFormat="1" x14ac:dyDescent="0.25">
      <c r="A28" s="124" t="s">
        <v>637</v>
      </c>
      <c r="B28" s="124">
        <v>40</v>
      </c>
      <c r="C28" s="124" t="s">
        <v>750</v>
      </c>
      <c r="D28" s="124">
        <v>6.3</v>
      </c>
      <c r="E28" s="124">
        <v>11.9</v>
      </c>
      <c r="F28" s="124">
        <v>0.12</v>
      </c>
      <c r="G28" s="124">
        <v>60.44</v>
      </c>
      <c r="H28" s="124">
        <v>491</v>
      </c>
      <c r="I28" s="124">
        <v>6</v>
      </c>
      <c r="J28" s="3" t="s">
        <v>748</v>
      </c>
    </row>
    <row r="29" spans="1:10" s="3" customFormat="1" x14ac:dyDescent="0.25">
      <c r="A29" s="124" t="s">
        <v>638</v>
      </c>
      <c r="B29" s="124">
        <v>45</v>
      </c>
      <c r="C29" s="124" t="s">
        <v>750</v>
      </c>
      <c r="D29" s="124">
        <v>6.7</v>
      </c>
      <c r="E29" s="124">
        <v>13</v>
      </c>
      <c r="F29" s="124">
        <v>0.12</v>
      </c>
      <c r="G29" s="124">
        <v>70.61</v>
      </c>
      <c r="H29" s="124">
        <v>598</v>
      </c>
      <c r="I29" s="124">
        <v>6.5</v>
      </c>
      <c r="J29" s="3" t="s">
        <v>748</v>
      </c>
    </row>
    <row r="30" spans="1:10" s="3" customFormat="1" x14ac:dyDescent="0.25">
      <c r="A30" s="124" t="s">
        <v>639</v>
      </c>
      <c r="B30" s="124">
        <v>50</v>
      </c>
      <c r="C30" s="124" t="s">
        <v>750</v>
      </c>
      <c r="D30" s="124">
        <v>7.3</v>
      </c>
      <c r="E30" s="124">
        <v>13.92</v>
      </c>
      <c r="F30" s="124">
        <v>0.12</v>
      </c>
      <c r="G30" s="124">
        <v>79.540000000000006</v>
      </c>
      <c r="H30" s="124">
        <v>740</v>
      </c>
      <c r="I30" s="124">
        <v>7</v>
      </c>
      <c r="J30" s="3" t="s">
        <v>748</v>
      </c>
    </row>
    <row r="31" spans="1:10" s="3" customFormat="1" x14ac:dyDescent="0.25">
      <c r="A31" s="124" t="s">
        <v>640</v>
      </c>
      <c r="B31" s="124">
        <v>55</v>
      </c>
      <c r="C31" s="124" t="s">
        <v>750</v>
      </c>
      <c r="D31" s="124">
        <v>7.3</v>
      </c>
      <c r="E31" s="124">
        <v>14.62</v>
      </c>
      <c r="F31" s="124">
        <v>0.12</v>
      </c>
      <c r="G31" s="124">
        <v>86.5</v>
      </c>
      <c r="H31" s="124">
        <v>836</v>
      </c>
      <c r="I31" s="124">
        <v>7.5</v>
      </c>
      <c r="J31" s="3" t="s">
        <v>748</v>
      </c>
    </row>
    <row r="32" spans="1:10" s="3" customFormat="1" x14ac:dyDescent="0.25">
      <c r="A32" s="124" t="s">
        <v>641</v>
      </c>
      <c r="B32" s="124">
        <v>60</v>
      </c>
      <c r="C32" s="124" t="s">
        <v>750</v>
      </c>
      <c r="D32" s="124">
        <v>4.8</v>
      </c>
      <c r="E32" s="124">
        <v>12.68</v>
      </c>
      <c r="F32" s="124">
        <v>0.188</v>
      </c>
      <c r="G32" s="124">
        <v>101.85</v>
      </c>
      <c r="H32" s="124">
        <v>1146</v>
      </c>
      <c r="I32" s="124">
        <v>8</v>
      </c>
      <c r="J32" s="3" t="s">
        <v>748</v>
      </c>
    </row>
    <row r="33" spans="1:10" s="3" customFormat="1" x14ac:dyDescent="0.25">
      <c r="A33" s="124" t="s">
        <v>642</v>
      </c>
      <c r="B33" s="124">
        <v>65</v>
      </c>
      <c r="C33" s="124" t="s">
        <v>750</v>
      </c>
      <c r="D33" s="124">
        <v>4.8</v>
      </c>
      <c r="E33" s="124">
        <v>13.38</v>
      </c>
      <c r="F33" s="124">
        <v>0.188</v>
      </c>
      <c r="G33" s="124">
        <v>113.54</v>
      </c>
      <c r="H33" s="124">
        <v>1282</v>
      </c>
      <c r="I33" s="124">
        <v>8.5</v>
      </c>
      <c r="J33" s="3" t="s">
        <v>748</v>
      </c>
    </row>
    <row r="34" spans="1:10" s="3" customFormat="1" x14ac:dyDescent="0.25">
      <c r="A34" s="124" t="s">
        <v>643</v>
      </c>
      <c r="B34" s="124">
        <v>70</v>
      </c>
      <c r="C34" s="124" t="s">
        <v>750</v>
      </c>
      <c r="D34" s="124">
        <v>4.8</v>
      </c>
      <c r="E34" s="124">
        <v>14.08</v>
      </c>
      <c r="F34" s="124">
        <v>0.188</v>
      </c>
      <c r="G34" s="124">
        <v>125.86</v>
      </c>
      <c r="H34" s="124">
        <v>1425</v>
      </c>
      <c r="I34" s="124">
        <v>9</v>
      </c>
      <c r="J34" s="3" t="s">
        <v>748</v>
      </c>
    </row>
    <row r="35" spans="1:10" s="3" customFormat="1" x14ac:dyDescent="0.25">
      <c r="A35" s="124" t="s">
        <v>644</v>
      </c>
      <c r="B35" s="124">
        <v>75</v>
      </c>
      <c r="C35" s="124" t="s">
        <v>750</v>
      </c>
      <c r="D35" s="124">
        <v>4.8</v>
      </c>
      <c r="E35" s="124">
        <v>14.78</v>
      </c>
      <c r="F35" s="124">
        <v>0.188</v>
      </c>
      <c r="G35" s="124">
        <v>138.81</v>
      </c>
      <c r="H35" s="124">
        <v>1576</v>
      </c>
      <c r="I35" s="124">
        <v>9.5</v>
      </c>
      <c r="J35" s="3" t="s">
        <v>748</v>
      </c>
    </row>
    <row r="36" spans="1:10" s="3" customFormat="1" x14ac:dyDescent="0.25">
      <c r="A36" s="124" t="s">
        <v>645</v>
      </c>
      <c r="B36" s="124">
        <v>80</v>
      </c>
      <c r="C36" s="124" t="s">
        <v>750</v>
      </c>
      <c r="D36" s="124">
        <v>4.8</v>
      </c>
      <c r="E36" s="124">
        <v>15.48</v>
      </c>
      <c r="F36" s="124">
        <v>0.188</v>
      </c>
      <c r="G36" s="124">
        <v>152.41</v>
      </c>
      <c r="H36" s="124">
        <v>1734</v>
      </c>
      <c r="I36" s="124">
        <v>10</v>
      </c>
      <c r="J36" s="3" t="s">
        <v>748</v>
      </c>
    </row>
    <row r="37" spans="1:10" s="3" customFormat="1" x14ac:dyDescent="0.25">
      <c r="A37" s="124" t="s">
        <v>646</v>
      </c>
      <c r="B37" s="124">
        <v>85</v>
      </c>
      <c r="C37" s="124" t="s">
        <v>750</v>
      </c>
      <c r="D37" s="124">
        <v>4.8</v>
      </c>
      <c r="E37" s="124">
        <v>16.18</v>
      </c>
      <c r="F37" s="124">
        <v>0.188</v>
      </c>
      <c r="G37" s="124">
        <v>166.63</v>
      </c>
      <c r="H37" s="124">
        <v>1899</v>
      </c>
      <c r="I37" s="124">
        <v>10.5</v>
      </c>
      <c r="J37" s="3" t="s">
        <v>748</v>
      </c>
    </row>
    <row r="38" spans="1:10" s="3" customFormat="1" x14ac:dyDescent="0.25">
      <c r="A38" s="124" t="s">
        <v>647</v>
      </c>
      <c r="B38" s="124">
        <v>30</v>
      </c>
      <c r="C38" s="124" t="s">
        <v>749</v>
      </c>
      <c r="D38" s="124">
        <v>5.5</v>
      </c>
      <c r="E38" s="124">
        <v>9.6999999999999993</v>
      </c>
      <c r="F38" s="124">
        <v>0.12</v>
      </c>
      <c r="G38" s="124">
        <v>39.729999999999997</v>
      </c>
      <c r="H38" s="124">
        <v>308</v>
      </c>
      <c r="I38" s="124">
        <v>5</v>
      </c>
      <c r="J38" s="3" t="s">
        <v>748</v>
      </c>
    </row>
    <row r="39" spans="1:10" s="3" customFormat="1" x14ac:dyDescent="0.25">
      <c r="A39" s="124" t="s">
        <v>648</v>
      </c>
      <c r="B39" s="124">
        <v>35</v>
      </c>
      <c r="C39" s="124" t="s">
        <v>749</v>
      </c>
      <c r="D39" s="124">
        <v>5.5</v>
      </c>
      <c r="E39" s="124">
        <v>10.4</v>
      </c>
      <c r="F39" s="124">
        <v>0.12</v>
      </c>
      <c r="G39" s="124">
        <v>45.6</v>
      </c>
      <c r="H39" s="124">
        <v>375</v>
      </c>
      <c r="I39" s="124">
        <v>5.5</v>
      </c>
      <c r="J39" s="3" t="s">
        <v>748</v>
      </c>
    </row>
    <row r="40" spans="1:10" s="3" customFormat="1" x14ac:dyDescent="0.25">
      <c r="A40" s="124" t="s">
        <v>649</v>
      </c>
      <c r="B40" s="124">
        <v>40</v>
      </c>
      <c r="C40" s="124" t="s">
        <v>749</v>
      </c>
      <c r="D40" s="124">
        <v>5.5</v>
      </c>
      <c r="E40" s="124">
        <v>11.1</v>
      </c>
      <c r="F40" s="124">
        <v>0.12</v>
      </c>
      <c r="G40" s="124">
        <v>51.88</v>
      </c>
      <c r="H40" s="124">
        <v>447</v>
      </c>
      <c r="I40" s="124">
        <v>6</v>
      </c>
      <c r="J40" s="3" t="s">
        <v>748</v>
      </c>
    </row>
    <row r="41" spans="1:10" s="3" customFormat="1" x14ac:dyDescent="0.25">
      <c r="A41" s="124" t="s">
        <v>650</v>
      </c>
      <c r="B41" s="124">
        <v>45</v>
      </c>
      <c r="C41" s="124" t="s">
        <v>749</v>
      </c>
      <c r="D41" s="124">
        <v>5.5</v>
      </c>
      <c r="E41" s="124">
        <v>11.8</v>
      </c>
      <c r="F41" s="124">
        <v>0.12</v>
      </c>
      <c r="G41" s="124">
        <v>58.57</v>
      </c>
      <c r="H41" s="124">
        <v>523</v>
      </c>
      <c r="I41" s="124">
        <v>6.5</v>
      </c>
      <c r="J41" s="3" t="s">
        <v>748</v>
      </c>
    </row>
    <row r="42" spans="1:10" x14ac:dyDescent="0.25">
      <c r="A42" s="124" t="s">
        <v>651</v>
      </c>
      <c r="B42" s="124">
        <v>50</v>
      </c>
      <c r="C42" s="124" t="s">
        <v>749</v>
      </c>
      <c r="D42" s="124">
        <v>5.9</v>
      </c>
      <c r="E42" s="124">
        <v>12.52</v>
      </c>
      <c r="F42" s="124">
        <v>0.12</v>
      </c>
      <c r="G42" s="124">
        <v>65.099999999999994</v>
      </c>
      <c r="H42" s="124">
        <v>640</v>
      </c>
      <c r="I42" s="124">
        <v>7</v>
      </c>
      <c r="J42" s="3" t="s">
        <v>748</v>
      </c>
    </row>
    <row r="43" spans="1:10" x14ac:dyDescent="0.25">
      <c r="A43" s="124" t="s">
        <v>652</v>
      </c>
      <c r="B43" s="124">
        <v>55</v>
      </c>
      <c r="C43" s="124" t="s">
        <v>749</v>
      </c>
      <c r="D43" s="124">
        <v>5.9</v>
      </c>
      <c r="E43" s="124">
        <v>13.22</v>
      </c>
      <c r="F43" s="124">
        <v>0.12</v>
      </c>
      <c r="G43" s="124">
        <v>71.430000000000007</v>
      </c>
      <c r="H43" s="124">
        <v>746</v>
      </c>
      <c r="I43" s="124">
        <v>7.5</v>
      </c>
      <c r="J43" s="3" t="s">
        <v>748</v>
      </c>
    </row>
    <row r="44" spans="1:10" x14ac:dyDescent="0.25">
      <c r="A44" s="124" t="s">
        <v>653</v>
      </c>
      <c r="B44" s="124">
        <v>60</v>
      </c>
      <c r="C44" s="124" t="s">
        <v>749</v>
      </c>
      <c r="D44" s="124">
        <v>5.9</v>
      </c>
      <c r="E44" s="124">
        <v>13.92</v>
      </c>
      <c r="F44" s="124">
        <v>0.12</v>
      </c>
      <c r="G44" s="124">
        <v>78.03</v>
      </c>
      <c r="H44" s="124">
        <v>837</v>
      </c>
      <c r="I44" s="124">
        <v>8</v>
      </c>
      <c r="J44" s="3" t="s">
        <v>748</v>
      </c>
    </row>
    <row r="45" spans="1:10" x14ac:dyDescent="0.25">
      <c r="A45" s="124" t="s">
        <v>654</v>
      </c>
      <c r="B45" s="124">
        <v>65</v>
      </c>
      <c r="C45" s="124" t="s">
        <v>749</v>
      </c>
      <c r="D45" s="124">
        <v>5.9</v>
      </c>
      <c r="E45" s="124">
        <v>14.62</v>
      </c>
      <c r="F45" s="124">
        <v>0.12</v>
      </c>
      <c r="G45" s="124">
        <v>84.93</v>
      </c>
      <c r="H45" s="124">
        <v>933</v>
      </c>
      <c r="I45" s="124">
        <v>8.5</v>
      </c>
      <c r="J45" s="3" t="s">
        <v>748</v>
      </c>
    </row>
    <row r="46" spans="1:10" x14ac:dyDescent="0.25">
      <c r="A46" s="124" t="s">
        <v>655</v>
      </c>
      <c r="B46" s="124">
        <v>70</v>
      </c>
      <c r="C46" s="124" t="s">
        <v>749</v>
      </c>
      <c r="D46" s="124">
        <v>3.6</v>
      </c>
      <c r="E46" s="124">
        <v>12.88</v>
      </c>
      <c r="F46" s="124">
        <v>0.188</v>
      </c>
      <c r="G46" s="124">
        <v>102.94</v>
      </c>
      <c r="H46" s="124">
        <v>1156</v>
      </c>
      <c r="I46" s="124">
        <v>9</v>
      </c>
      <c r="J46" s="3" t="s">
        <v>748</v>
      </c>
    </row>
    <row r="47" spans="1:10" x14ac:dyDescent="0.25">
      <c r="A47" s="124" t="s">
        <v>656</v>
      </c>
      <c r="B47" s="124">
        <v>75</v>
      </c>
      <c r="C47" s="124" t="s">
        <v>749</v>
      </c>
      <c r="D47" s="124">
        <v>3.6</v>
      </c>
      <c r="E47" s="124">
        <v>13.58</v>
      </c>
      <c r="F47" s="124">
        <v>0.188</v>
      </c>
      <c r="G47" s="124">
        <v>114.68</v>
      </c>
      <c r="H47" s="124">
        <v>1375</v>
      </c>
      <c r="I47" s="124">
        <v>9.5</v>
      </c>
      <c r="J47" s="3" t="s">
        <v>748</v>
      </c>
    </row>
    <row r="48" spans="1:10" x14ac:dyDescent="0.25">
      <c r="A48" s="124" t="s">
        <v>657</v>
      </c>
      <c r="B48" s="124">
        <v>80</v>
      </c>
      <c r="C48" s="124" t="s">
        <v>749</v>
      </c>
      <c r="D48" s="124">
        <v>3.6</v>
      </c>
      <c r="E48" s="124">
        <v>14.28</v>
      </c>
      <c r="F48" s="124">
        <v>0.188</v>
      </c>
      <c r="G48" s="124">
        <v>127.06</v>
      </c>
      <c r="H48" s="124">
        <v>1520</v>
      </c>
      <c r="I48" s="124">
        <v>10</v>
      </c>
      <c r="J48" s="3" t="s">
        <v>748</v>
      </c>
    </row>
    <row r="49" spans="1:10" x14ac:dyDescent="0.25">
      <c r="A49" s="124" t="s">
        <v>658</v>
      </c>
      <c r="B49" s="124">
        <v>85</v>
      </c>
      <c r="C49" s="124" t="s">
        <v>749</v>
      </c>
      <c r="D49" s="124">
        <v>3.6</v>
      </c>
      <c r="E49" s="124">
        <v>14.98</v>
      </c>
      <c r="F49" s="124">
        <v>0.188</v>
      </c>
      <c r="G49" s="124">
        <v>140.08000000000001</v>
      </c>
      <c r="H49" s="124">
        <v>1672</v>
      </c>
      <c r="I49" s="124">
        <v>10.5</v>
      </c>
      <c r="J49" s="3" t="s">
        <v>748</v>
      </c>
    </row>
    <row r="50" spans="1:10" x14ac:dyDescent="0.25">
      <c r="A50" s="124" t="s">
        <v>659</v>
      </c>
      <c r="B50" s="124">
        <v>30</v>
      </c>
      <c r="C50" s="124" t="s">
        <v>753</v>
      </c>
      <c r="D50" s="124">
        <v>4.4000000000000004</v>
      </c>
      <c r="E50" s="124">
        <v>8.6</v>
      </c>
      <c r="F50" s="124">
        <v>0.12</v>
      </c>
      <c r="G50" s="124">
        <v>30.44</v>
      </c>
      <c r="H50" s="124">
        <v>262</v>
      </c>
      <c r="I50" s="124">
        <v>5</v>
      </c>
      <c r="J50" s="3" t="s">
        <v>748</v>
      </c>
    </row>
    <row r="51" spans="1:10" x14ac:dyDescent="0.25">
      <c r="A51" s="124" t="s">
        <v>660</v>
      </c>
      <c r="B51" s="124">
        <v>35</v>
      </c>
      <c r="C51" s="124" t="s">
        <v>753</v>
      </c>
      <c r="D51" s="124">
        <v>4.4000000000000004</v>
      </c>
      <c r="E51" s="124">
        <v>9.3000000000000007</v>
      </c>
      <c r="F51" s="124">
        <v>0.12</v>
      </c>
      <c r="G51" s="124">
        <v>35.61</v>
      </c>
      <c r="H51" s="124">
        <v>321</v>
      </c>
      <c r="I51" s="124">
        <v>5.5</v>
      </c>
      <c r="J51" s="3" t="s">
        <v>748</v>
      </c>
    </row>
    <row r="52" spans="1:10" x14ac:dyDescent="0.25">
      <c r="A52" s="124" t="s">
        <v>661</v>
      </c>
      <c r="B52" s="124">
        <v>40</v>
      </c>
      <c r="C52" s="124" t="s">
        <v>753</v>
      </c>
      <c r="D52" s="124">
        <v>4.4000000000000004</v>
      </c>
      <c r="E52" s="124">
        <v>10</v>
      </c>
      <c r="F52" s="124">
        <v>0.12</v>
      </c>
      <c r="G52" s="124">
        <v>41.18</v>
      </c>
      <c r="H52" s="124">
        <v>386</v>
      </c>
      <c r="I52" s="124">
        <v>6</v>
      </c>
      <c r="J52" s="3" t="s">
        <v>748</v>
      </c>
    </row>
    <row r="53" spans="1:10" x14ac:dyDescent="0.25">
      <c r="A53" s="124" t="s">
        <v>662</v>
      </c>
      <c r="B53" s="124">
        <v>45</v>
      </c>
      <c r="C53" s="124" t="s">
        <v>753</v>
      </c>
      <c r="D53" s="124">
        <v>4.4000000000000004</v>
      </c>
      <c r="E53" s="124">
        <v>10.7</v>
      </c>
      <c r="F53" s="124">
        <v>0.12</v>
      </c>
      <c r="G53" s="124">
        <v>47.16</v>
      </c>
      <c r="H53" s="124">
        <v>455</v>
      </c>
      <c r="I53" s="124">
        <v>6.5</v>
      </c>
      <c r="J53" s="3" t="s">
        <v>748</v>
      </c>
    </row>
    <row r="54" spans="1:10" x14ac:dyDescent="0.25">
      <c r="A54" s="124" t="s">
        <v>663</v>
      </c>
      <c r="B54" s="124">
        <v>50</v>
      </c>
      <c r="C54" s="124" t="s">
        <v>753</v>
      </c>
      <c r="D54" s="124">
        <v>4.5</v>
      </c>
      <c r="E54" s="124">
        <v>11.12</v>
      </c>
      <c r="F54" s="124">
        <v>0.12</v>
      </c>
      <c r="G54" s="124">
        <v>50.66</v>
      </c>
      <c r="H54" s="124">
        <v>544</v>
      </c>
      <c r="I54" s="124">
        <v>7</v>
      </c>
      <c r="J54" s="3" t="s">
        <v>748</v>
      </c>
    </row>
    <row r="55" spans="1:10" x14ac:dyDescent="0.25">
      <c r="A55" s="124" t="s">
        <v>664</v>
      </c>
      <c r="B55" s="124">
        <v>55</v>
      </c>
      <c r="C55" s="124" t="s">
        <v>753</v>
      </c>
      <c r="D55" s="124">
        <v>4.4000000000000004</v>
      </c>
      <c r="E55" s="124">
        <v>11.72</v>
      </c>
      <c r="F55" s="124">
        <v>0.12</v>
      </c>
      <c r="G55" s="124">
        <v>56.19</v>
      </c>
      <c r="H55" s="124">
        <v>630</v>
      </c>
      <c r="I55" s="124">
        <v>7.5</v>
      </c>
      <c r="J55" s="3" t="s">
        <v>748</v>
      </c>
    </row>
    <row r="56" spans="1:10" x14ac:dyDescent="0.25">
      <c r="A56" s="124" t="s">
        <v>665</v>
      </c>
      <c r="B56" s="124">
        <v>60</v>
      </c>
      <c r="C56" s="124" t="s">
        <v>753</v>
      </c>
      <c r="D56" s="124">
        <v>4.4000000000000004</v>
      </c>
      <c r="E56" s="124">
        <v>12.42</v>
      </c>
      <c r="F56" s="124">
        <v>0.12</v>
      </c>
      <c r="G56" s="124">
        <v>62.77</v>
      </c>
      <c r="H56" s="124">
        <v>710</v>
      </c>
      <c r="I56" s="124">
        <v>8</v>
      </c>
      <c r="J56" s="3" t="s">
        <v>748</v>
      </c>
    </row>
    <row r="57" spans="1:10" x14ac:dyDescent="0.25">
      <c r="A57" s="124" t="s">
        <v>666</v>
      </c>
      <c r="B57" s="124">
        <v>65</v>
      </c>
      <c r="C57" s="124" t="s">
        <v>753</v>
      </c>
      <c r="D57" s="124">
        <v>4.4000000000000004</v>
      </c>
      <c r="E57" s="124">
        <v>13.12</v>
      </c>
      <c r="F57" s="124">
        <v>0.12</v>
      </c>
      <c r="G57" s="124">
        <v>68.98</v>
      </c>
      <c r="H57" s="124">
        <v>796</v>
      </c>
      <c r="I57" s="124">
        <v>8.5</v>
      </c>
      <c r="J57" s="3" t="s">
        <v>748</v>
      </c>
    </row>
    <row r="58" spans="1:10" x14ac:dyDescent="0.25">
      <c r="A58" s="124" t="s">
        <v>667</v>
      </c>
      <c r="B58" s="124">
        <v>70</v>
      </c>
      <c r="C58" s="124" t="s">
        <v>753</v>
      </c>
      <c r="D58" s="124">
        <v>4.4000000000000004</v>
      </c>
      <c r="E58" s="124">
        <v>13.82</v>
      </c>
      <c r="F58" s="124">
        <v>0.12</v>
      </c>
      <c r="G58" s="124">
        <v>75.48</v>
      </c>
      <c r="H58" s="124">
        <v>886</v>
      </c>
      <c r="I58" s="124">
        <v>9</v>
      </c>
      <c r="J58" s="3" t="s">
        <v>748</v>
      </c>
    </row>
    <row r="59" spans="1:10" x14ac:dyDescent="0.25">
      <c r="A59" s="124" t="s">
        <v>668</v>
      </c>
      <c r="B59" s="124">
        <v>75</v>
      </c>
      <c r="C59" s="124" t="s">
        <v>753</v>
      </c>
      <c r="D59" s="124">
        <v>4.4000000000000004</v>
      </c>
      <c r="E59" s="124">
        <v>14.52</v>
      </c>
      <c r="F59" s="124">
        <v>0.12</v>
      </c>
      <c r="G59" s="124">
        <v>82.27</v>
      </c>
      <c r="H59" s="124">
        <v>981</v>
      </c>
      <c r="I59" s="124">
        <v>9.5</v>
      </c>
      <c r="J59" s="3" t="s">
        <v>748</v>
      </c>
    </row>
    <row r="60" spans="1:10" x14ac:dyDescent="0.25">
      <c r="A60" s="124" t="s">
        <v>669</v>
      </c>
      <c r="B60" s="124">
        <v>80</v>
      </c>
      <c r="C60" s="124" t="s">
        <v>753</v>
      </c>
      <c r="D60" s="124">
        <v>3.6</v>
      </c>
      <c r="E60" s="124">
        <v>14.28</v>
      </c>
      <c r="F60" s="124">
        <v>0.188</v>
      </c>
      <c r="G60" s="124">
        <v>127.06</v>
      </c>
      <c r="H60" s="124">
        <v>1520</v>
      </c>
      <c r="I60" s="124">
        <v>10</v>
      </c>
      <c r="J60" s="3" t="s">
        <v>748</v>
      </c>
    </row>
    <row r="61" spans="1:10" x14ac:dyDescent="0.25">
      <c r="A61" s="124" t="s">
        <v>670</v>
      </c>
      <c r="B61" s="124">
        <v>85</v>
      </c>
      <c r="C61" s="124" t="s">
        <v>753</v>
      </c>
      <c r="D61" s="124">
        <v>3.6</v>
      </c>
      <c r="E61" s="124">
        <v>14.98</v>
      </c>
      <c r="F61" s="124">
        <v>0.188</v>
      </c>
      <c r="G61" s="124">
        <v>140.08000000000001</v>
      </c>
      <c r="H61" s="124">
        <v>1672</v>
      </c>
      <c r="I61" s="124">
        <v>10.5</v>
      </c>
      <c r="J61" s="3" t="s">
        <v>748</v>
      </c>
    </row>
    <row r="62" spans="1:10" x14ac:dyDescent="0.25">
      <c r="A62" s="55" t="s">
        <v>387</v>
      </c>
      <c r="B62" s="55">
        <v>30</v>
      </c>
      <c r="C62" s="124" t="s">
        <v>297</v>
      </c>
      <c r="D62" s="55">
        <v>6.8</v>
      </c>
      <c r="E62" s="55">
        <v>11</v>
      </c>
      <c r="F62" s="123">
        <v>0.188</v>
      </c>
      <c r="G62" s="55">
        <v>80.319999999999993</v>
      </c>
      <c r="H62" s="55">
        <v>557</v>
      </c>
      <c r="I62" s="55">
        <v>5</v>
      </c>
      <c r="J62" t="s">
        <v>786</v>
      </c>
    </row>
    <row r="63" spans="1:10" x14ac:dyDescent="0.25">
      <c r="A63" s="55" t="s">
        <v>388</v>
      </c>
      <c r="B63" s="55">
        <v>35</v>
      </c>
      <c r="C63" s="124" t="s">
        <v>297</v>
      </c>
      <c r="D63" s="55">
        <v>7.2</v>
      </c>
      <c r="E63" s="55">
        <v>12.1</v>
      </c>
      <c r="F63" s="123">
        <v>0.188</v>
      </c>
      <c r="G63" s="55">
        <v>97.67</v>
      </c>
      <c r="H63" s="55">
        <v>706</v>
      </c>
      <c r="I63" s="55">
        <v>5.5</v>
      </c>
      <c r="J63" t="s">
        <v>786</v>
      </c>
    </row>
    <row r="64" spans="1:10" x14ac:dyDescent="0.25">
      <c r="A64" s="123" t="s">
        <v>389</v>
      </c>
      <c r="B64" s="123">
        <v>40</v>
      </c>
      <c r="C64" s="124" t="s">
        <v>297</v>
      </c>
      <c r="D64" s="123">
        <v>7.2</v>
      </c>
      <c r="E64" s="123">
        <v>12.8</v>
      </c>
      <c r="F64" s="123">
        <v>0.188</v>
      </c>
      <c r="G64" s="123">
        <v>109.12</v>
      </c>
      <c r="H64" s="123">
        <v>835</v>
      </c>
      <c r="I64" s="123">
        <v>6</v>
      </c>
      <c r="J64" t="s">
        <v>786</v>
      </c>
    </row>
    <row r="65" spans="1:10" x14ac:dyDescent="0.25">
      <c r="A65" s="123" t="s">
        <v>390</v>
      </c>
      <c r="B65" s="123">
        <v>45</v>
      </c>
      <c r="C65" s="124" t="s">
        <v>297</v>
      </c>
      <c r="D65" s="123">
        <v>7.6</v>
      </c>
      <c r="E65" s="123">
        <v>13.9</v>
      </c>
      <c r="F65" s="123">
        <v>0.188</v>
      </c>
      <c r="G65" s="123">
        <v>129.21</v>
      </c>
      <c r="H65" s="123">
        <v>1011</v>
      </c>
      <c r="I65" s="123">
        <v>6.5</v>
      </c>
      <c r="J65" t="s">
        <v>786</v>
      </c>
    </row>
    <row r="66" spans="1:10" x14ac:dyDescent="0.25">
      <c r="A66" s="123" t="s">
        <v>391</v>
      </c>
      <c r="B66" s="123">
        <v>50</v>
      </c>
      <c r="C66" s="124" t="s">
        <v>297</v>
      </c>
      <c r="D66" s="123">
        <v>8.25</v>
      </c>
      <c r="E66" s="123">
        <v>14.73</v>
      </c>
      <c r="F66" s="123">
        <v>0.188</v>
      </c>
      <c r="G66" s="123">
        <v>145.21</v>
      </c>
      <c r="H66" s="123">
        <v>1248</v>
      </c>
      <c r="I66" s="123">
        <v>7</v>
      </c>
      <c r="J66" t="s">
        <v>786</v>
      </c>
    </row>
    <row r="67" spans="1:10" x14ac:dyDescent="0.25">
      <c r="A67" s="55" t="s">
        <v>392</v>
      </c>
      <c r="B67" s="55">
        <v>55</v>
      </c>
      <c r="C67" s="124" t="s">
        <v>297</v>
      </c>
      <c r="D67" s="55">
        <v>8.25</v>
      </c>
      <c r="E67" s="55">
        <v>45.43</v>
      </c>
      <c r="F67" s="55">
        <v>0.188</v>
      </c>
      <c r="G67" s="55">
        <v>159.1</v>
      </c>
      <c r="H67" s="55">
        <v>1488</v>
      </c>
      <c r="I67" s="55">
        <v>7.5</v>
      </c>
      <c r="J67" t="s">
        <v>786</v>
      </c>
    </row>
    <row r="68" spans="1:10" x14ac:dyDescent="0.25">
      <c r="A68" s="55" t="s">
        <v>393</v>
      </c>
      <c r="B68" s="55">
        <v>60</v>
      </c>
      <c r="C68" s="124" t="s">
        <v>297</v>
      </c>
      <c r="D68" s="55">
        <v>8.4</v>
      </c>
      <c r="E68" s="55">
        <v>16.28</v>
      </c>
      <c r="F68" s="55">
        <v>0.188</v>
      </c>
      <c r="G68" s="55">
        <v>177.18</v>
      </c>
      <c r="H68" s="55">
        <v>1637</v>
      </c>
      <c r="I68" s="55">
        <v>8</v>
      </c>
      <c r="J68" t="s">
        <v>786</v>
      </c>
    </row>
    <row r="69" spans="1:10" x14ac:dyDescent="0.25">
      <c r="A69" s="55" t="s">
        <v>394</v>
      </c>
      <c r="B69" s="55">
        <v>65</v>
      </c>
      <c r="C69" s="124" t="s">
        <v>297</v>
      </c>
      <c r="D69" s="55">
        <v>8.4</v>
      </c>
      <c r="E69" s="55">
        <v>16.98</v>
      </c>
      <c r="F69" s="55">
        <v>0.188</v>
      </c>
      <c r="G69" s="55">
        <v>192.5</v>
      </c>
      <c r="H69" s="55">
        <v>1811</v>
      </c>
      <c r="I69" s="55">
        <v>8.5</v>
      </c>
      <c r="J69" t="s">
        <v>786</v>
      </c>
    </row>
    <row r="70" spans="1:10" x14ac:dyDescent="0.25">
      <c r="A70" s="55" t="s">
        <v>395</v>
      </c>
      <c r="B70" s="55">
        <v>70</v>
      </c>
      <c r="C70" s="124" t="s">
        <v>297</v>
      </c>
      <c r="D70" s="55">
        <v>8.4</v>
      </c>
      <c r="E70" s="55">
        <v>17.670000000000002</v>
      </c>
      <c r="F70" s="55">
        <v>0.188</v>
      </c>
      <c r="G70" s="55">
        <v>208.45</v>
      </c>
      <c r="H70" s="55">
        <v>1993</v>
      </c>
      <c r="I70" s="55">
        <v>9</v>
      </c>
      <c r="J70" t="s">
        <v>786</v>
      </c>
    </row>
    <row r="71" spans="1:10" x14ac:dyDescent="0.25">
      <c r="A71" s="55" t="s">
        <v>396</v>
      </c>
      <c r="B71" s="55">
        <v>75</v>
      </c>
      <c r="C71" s="124" t="s">
        <v>297</v>
      </c>
      <c r="D71" s="55">
        <v>8.4</v>
      </c>
      <c r="E71" s="55">
        <v>18.38</v>
      </c>
      <c r="F71" s="55">
        <v>0.188</v>
      </c>
      <c r="G71" s="55">
        <v>225.03</v>
      </c>
      <c r="H71" s="55">
        <v>2181</v>
      </c>
      <c r="I71" s="55">
        <v>9.5</v>
      </c>
      <c r="J71" t="s">
        <v>786</v>
      </c>
    </row>
    <row r="72" spans="1:10" x14ac:dyDescent="0.25">
      <c r="A72" s="55" t="s">
        <v>397</v>
      </c>
      <c r="B72" s="55">
        <v>80</v>
      </c>
      <c r="C72" s="124" t="s">
        <v>297</v>
      </c>
      <c r="D72" s="55">
        <v>7.6</v>
      </c>
      <c r="E72" s="55">
        <v>18.28</v>
      </c>
      <c r="F72" s="55" t="s">
        <v>398</v>
      </c>
      <c r="G72" s="55">
        <v>289.98</v>
      </c>
      <c r="H72" s="55">
        <v>2622</v>
      </c>
      <c r="I72" s="55">
        <v>10</v>
      </c>
      <c r="J72" t="s">
        <v>786</v>
      </c>
    </row>
    <row r="73" spans="1:10" x14ac:dyDescent="0.25">
      <c r="A73" s="55" t="s">
        <v>399</v>
      </c>
      <c r="B73" s="55">
        <v>85</v>
      </c>
      <c r="C73" s="124" t="s">
        <v>297</v>
      </c>
      <c r="D73" s="55">
        <v>7.6</v>
      </c>
      <c r="E73" s="55">
        <v>18.98</v>
      </c>
      <c r="F73" s="55" t="s">
        <v>398</v>
      </c>
      <c r="G73" s="55">
        <v>312.52999999999997</v>
      </c>
      <c r="H73" s="55">
        <v>2879</v>
      </c>
      <c r="I73" s="55">
        <v>10.5</v>
      </c>
      <c r="J73" t="s">
        <v>786</v>
      </c>
    </row>
    <row r="74" spans="1:10" x14ac:dyDescent="0.25">
      <c r="A74" s="55" t="s">
        <v>400</v>
      </c>
      <c r="B74" s="55">
        <v>30</v>
      </c>
      <c r="C74" s="124" t="s">
        <v>296</v>
      </c>
      <c r="D74" s="55">
        <v>7.6</v>
      </c>
      <c r="E74" s="55">
        <v>11.8</v>
      </c>
      <c r="F74" s="123">
        <v>0.188</v>
      </c>
      <c r="G74" s="55">
        <v>93.65</v>
      </c>
      <c r="H74" s="55">
        <v>610</v>
      </c>
      <c r="I74" s="55">
        <v>5</v>
      </c>
      <c r="J74" t="s">
        <v>786</v>
      </c>
    </row>
    <row r="75" spans="1:10" x14ac:dyDescent="0.25">
      <c r="A75" s="123" t="s">
        <v>401</v>
      </c>
      <c r="B75" s="123">
        <v>35</v>
      </c>
      <c r="C75" s="124" t="s">
        <v>296</v>
      </c>
      <c r="D75" s="123">
        <v>8</v>
      </c>
      <c r="E75" s="123">
        <v>12.9</v>
      </c>
      <c r="F75" s="123">
        <v>0.188</v>
      </c>
      <c r="G75" s="123">
        <v>112.32</v>
      </c>
      <c r="H75" s="123">
        <v>766</v>
      </c>
      <c r="I75" s="123">
        <v>5.5</v>
      </c>
      <c r="J75" t="s">
        <v>786</v>
      </c>
    </row>
    <row r="76" spans="1:10" x14ac:dyDescent="0.25">
      <c r="A76" s="123" t="s">
        <v>402</v>
      </c>
      <c r="B76" s="123">
        <v>40</v>
      </c>
      <c r="C76" s="124" t="s">
        <v>296</v>
      </c>
      <c r="D76" s="123">
        <v>8.4</v>
      </c>
      <c r="E76" s="123">
        <v>14</v>
      </c>
      <c r="F76" s="123">
        <v>0.188</v>
      </c>
      <c r="G76" s="123">
        <v>132.69</v>
      </c>
      <c r="H76" s="123">
        <v>938</v>
      </c>
      <c r="I76" s="123">
        <v>6</v>
      </c>
      <c r="J76" t="s">
        <v>786</v>
      </c>
    </row>
    <row r="77" spans="1:10" x14ac:dyDescent="0.25">
      <c r="A77" s="123" t="s">
        <v>403</v>
      </c>
      <c r="B77" s="123">
        <v>45</v>
      </c>
      <c r="C77" s="124" t="s">
        <v>296</v>
      </c>
      <c r="D77" s="123">
        <v>8.6999999999999993</v>
      </c>
      <c r="E77" s="123">
        <v>15</v>
      </c>
      <c r="F77" s="123">
        <v>0.188</v>
      </c>
      <c r="G77" s="123">
        <v>152.54</v>
      </c>
      <c r="H77" s="123">
        <v>1117</v>
      </c>
      <c r="I77" s="123">
        <v>6.5</v>
      </c>
      <c r="J77" t="s">
        <v>786</v>
      </c>
    </row>
    <row r="78" spans="1:10" x14ac:dyDescent="0.25">
      <c r="A78" s="55" t="s">
        <v>404</v>
      </c>
      <c r="B78" s="55">
        <v>50</v>
      </c>
      <c r="C78" s="124" t="s">
        <v>296</v>
      </c>
      <c r="D78" s="55">
        <v>9.25</v>
      </c>
      <c r="E78" s="55">
        <v>15.73</v>
      </c>
      <c r="F78" s="55">
        <v>0.188</v>
      </c>
      <c r="G78" s="55">
        <v>167.56</v>
      </c>
      <c r="H78" s="55">
        <v>1367</v>
      </c>
      <c r="I78" s="55">
        <v>7</v>
      </c>
      <c r="J78" t="s">
        <v>786</v>
      </c>
    </row>
    <row r="79" spans="1:10" x14ac:dyDescent="0.25">
      <c r="A79" s="55" t="s">
        <v>405</v>
      </c>
      <c r="B79" s="55">
        <v>55</v>
      </c>
      <c r="C79" s="124" t="s">
        <v>296</v>
      </c>
      <c r="D79" s="55">
        <v>9.5</v>
      </c>
      <c r="E79" s="55">
        <v>16.68</v>
      </c>
      <c r="F79" s="55">
        <v>0.188</v>
      </c>
      <c r="G79" s="55">
        <v>188.55</v>
      </c>
      <c r="H79" s="55">
        <v>1566</v>
      </c>
      <c r="I79" s="55">
        <v>7.5</v>
      </c>
      <c r="J79" t="s">
        <v>786</v>
      </c>
    </row>
    <row r="80" spans="1:10" x14ac:dyDescent="0.25">
      <c r="A80" s="55" t="s">
        <v>406</v>
      </c>
      <c r="B80" s="55">
        <v>60</v>
      </c>
      <c r="C80" s="124" t="s">
        <v>296</v>
      </c>
      <c r="D80" s="55">
        <v>8.6999999999999993</v>
      </c>
      <c r="E80" s="55">
        <v>16.579999999999998</v>
      </c>
      <c r="F80" s="55" t="s">
        <v>398</v>
      </c>
      <c r="G80" s="55">
        <v>242.26</v>
      </c>
      <c r="H80" s="55">
        <v>1858</v>
      </c>
      <c r="I80" s="55">
        <v>8</v>
      </c>
      <c r="J80" t="s">
        <v>786</v>
      </c>
    </row>
    <row r="81" spans="1:10" x14ac:dyDescent="0.25">
      <c r="A81" s="123" t="s">
        <v>407</v>
      </c>
      <c r="B81" s="123">
        <v>65</v>
      </c>
      <c r="C81" s="124" t="s">
        <v>296</v>
      </c>
      <c r="D81" s="123">
        <v>8.6999999999999993</v>
      </c>
      <c r="E81" s="123">
        <v>17.28</v>
      </c>
      <c r="F81" s="123" t="s">
        <v>398</v>
      </c>
      <c r="G81" s="123">
        <v>262.91000000000003</v>
      </c>
      <c r="H81" s="123">
        <v>2093</v>
      </c>
      <c r="I81" s="123">
        <v>8.5</v>
      </c>
      <c r="J81" t="s">
        <v>786</v>
      </c>
    </row>
    <row r="82" spans="1:10" x14ac:dyDescent="0.25">
      <c r="A82" s="123" t="s">
        <v>408</v>
      </c>
      <c r="B82" s="123">
        <v>70</v>
      </c>
      <c r="C82" s="124" t="s">
        <v>296</v>
      </c>
      <c r="D82" s="123">
        <v>8.6999999999999993</v>
      </c>
      <c r="E82" s="123">
        <v>17.98</v>
      </c>
      <c r="F82" s="123" t="s">
        <v>398</v>
      </c>
      <c r="G82" s="123">
        <v>284.39</v>
      </c>
      <c r="H82" s="123">
        <v>2336</v>
      </c>
      <c r="I82" s="123">
        <v>9</v>
      </c>
      <c r="J82" t="s">
        <v>786</v>
      </c>
    </row>
    <row r="83" spans="1:10" x14ac:dyDescent="0.25">
      <c r="A83" s="123" t="s">
        <v>409</v>
      </c>
      <c r="B83" s="123">
        <v>75</v>
      </c>
      <c r="C83" s="124" t="s">
        <v>296</v>
      </c>
      <c r="D83" s="123">
        <v>8.6999999999999993</v>
      </c>
      <c r="E83" s="123">
        <v>18.68</v>
      </c>
      <c r="F83" s="123" t="s">
        <v>398</v>
      </c>
      <c r="G83" s="123">
        <v>306.72000000000003</v>
      </c>
      <c r="H83" s="123">
        <v>2590</v>
      </c>
      <c r="I83" s="123">
        <v>9.5</v>
      </c>
      <c r="J83" t="s">
        <v>786</v>
      </c>
    </row>
    <row r="84" spans="1:10" x14ac:dyDescent="0.25">
      <c r="A84" s="123" t="s">
        <v>671</v>
      </c>
      <c r="B84" s="123">
        <v>40</v>
      </c>
      <c r="C84" s="124" t="s">
        <v>356</v>
      </c>
      <c r="D84" s="123">
        <v>8.9</v>
      </c>
      <c r="E84" s="123">
        <v>15.62</v>
      </c>
      <c r="F84" s="123">
        <v>0.1875</v>
      </c>
      <c r="G84" s="123">
        <v>171.73</v>
      </c>
      <c r="H84" s="123">
        <v>996</v>
      </c>
      <c r="I84" s="123">
        <v>6</v>
      </c>
      <c r="J84" t="s">
        <v>786</v>
      </c>
    </row>
    <row r="85" spans="1:10" x14ac:dyDescent="0.25">
      <c r="A85" s="123" t="s">
        <v>672</v>
      </c>
      <c r="B85" s="123">
        <v>45</v>
      </c>
      <c r="C85" s="124" t="s">
        <v>356</v>
      </c>
      <c r="D85" s="123">
        <v>8.9</v>
      </c>
      <c r="E85" s="123">
        <v>16.46</v>
      </c>
      <c r="F85" s="123">
        <v>0.1875</v>
      </c>
      <c r="G85" s="123">
        <v>190.32</v>
      </c>
      <c r="H85" s="123">
        <v>1158</v>
      </c>
      <c r="I85" s="123">
        <v>6.5</v>
      </c>
      <c r="J85" t="s">
        <v>786</v>
      </c>
    </row>
    <row r="86" spans="1:10" x14ac:dyDescent="0.25">
      <c r="A86" s="123" t="s">
        <v>673</v>
      </c>
      <c r="B86" s="123">
        <v>50</v>
      </c>
      <c r="C86" s="124" t="s">
        <v>356</v>
      </c>
      <c r="D86" s="123">
        <v>8.9</v>
      </c>
      <c r="E86" s="123">
        <v>17.3</v>
      </c>
      <c r="F86" s="123">
        <v>0.1875</v>
      </c>
      <c r="G86" s="123">
        <v>209.87</v>
      </c>
      <c r="H86" s="123">
        <v>1329</v>
      </c>
      <c r="I86" s="123">
        <v>7</v>
      </c>
      <c r="J86" t="s">
        <v>786</v>
      </c>
    </row>
    <row r="87" spans="1:10" x14ac:dyDescent="0.25">
      <c r="A87" s="123" t="s">
        <v>674</v>
      </c>
      <c r="B87" s="123">
        <v>55</v>
      </c>
      <c r="C87" s="124" t="s">
        <v>356</v>
      </c>
      <c r="D87" s="123">
        <v>8.9</v>
      </c>
      <c r="E87" s="123">
        <v>17.600000000000001</v>
      </c>
      <c r="F87" s="123">
        <v>0.1875</v>
      </c>
      <c r="G87" s="123">
        <v>215.55</v>
      </c>
      <c r="H87" s="123">
        <v>1585</v>
      </c>
      <c r="I87" s="123">
        <v>7.5</v>
      </c>
      <c r="J87" t="s">
        <v>786</v>
      </c>
    </row>
    <row r="88" spans="1:10" x14ac:dyDescent="0.25">
      <c r="A88" s="123" t="s">
        <v>675</v>
      </c>
      <c r="B88" s="123">
        <v>60</v>
      </c>
      <c r="C88" s="124" t="s">
        <v>356</v>
      </c>
      <c r="D88" s="123">
        <v>8.9</v>
      </c>
      <c r="E88" s="123">
        <v>18.440000000000001</v>
      </c>
      <c r="F88" s="123">
        <v>0.1875</v>
      </c>
      <c r="G88" s="123">
        <v>236.32</v>
      </c>
      <c r="H88" s="123">
        <v>1768</v>
      </c>
      <c r="I88" s="123">
        <v>8</v>
      </c>
      <c r="J88" t="s">
        <v>786</v>
      </c>
    </row>
    <row r="89" spans="1:10" x14ac:dyDescent="0.25">
      <c r="A89" s="123" t="s">
        <v>676</v>
      </c>
      <c r="B89" s="123">
        <v>65</v>
      </c>
      <c r="C89" s="124" t="s">
        <v>356</v>
      </c>
      <c r="D89" s="123">
        <v>8.9</v>
      </c>
      <c r="E89" s="123">
        <v>19.28</v>
      </c>
      <c r="F89" s="123">
        <v>0.1875</v>
      </c>
      <c r="G89" s="123">
        <v>258.04000000000002</v>
      </c>
      <c r="H89" s="123">
        <v>1960</v>
      </c>
      <c r="I89" s="123">
        <v>8.5</v>
      </c>
      <c r="J89" t="s">
        <v>786</v>
      </c>
    </row>
    <row r="90" spans="1:10" x14ac:dyDescent="0.25">
      <c r="A90" s="123" t="s">
        <v>677</v>
      </c>
      <c r="B90" s="123">
        <v>70</v>
      </c>
      <c r="C90" s="124" t="s">
        <v>356</v>
      </c>
      <c r="D90" s="123">
        <v>8.9</v>
      </c>
      <c r="E90" s="123">
        <v>20.12</v>
      </c>
      <c r="F90" s="123">
        <v>0.1875</v>
      </c>
      <c r="G90" s="123">
        <v>280.73</v>
      </c>
      <c r="H90" s="123">
        <v>2160</v>
      </c>
      <c r="I90" s="123">
        <v>9</v>
      </c>
      <c r="J90" t="s">
        <v>786</v>
      </c>
    </row>
    <row r="91" spans="1:10" x14ac:dyDescent="0.25">
      <c r="A91" s="123" t="s">
        <v>678</v>
      </c>
      <c r="B91" s="123">
        <v>75</v>
      </c>
      <c r="C91" s="124" t="s">
        <v>356</v>
      </c>
      <c r="D91" s="123">
        <v>8.9</v>
      </c>
      <c r="E91" s="123">
        <v>20.96</v>
      </c>
      <c r="F91" s="123">
        <v>0.1875</v>
      </c>
      <c r="G91" s="123">
        <v>304.36</v>
      </c>
      <c r="H91" s="123">
        <v>2369</v>
      </c>
      <c r="I91" s="123">
        <v>9.5</v>
      </c>
      <c r="J91" t="s">
        <v>786</v>
      </c>
    </row>
    <row r="92" spans="1:10" x14ac:dyDescent="0.25">
      <c r="A92" s="123" t="s">
        <v>679</v>
      </c>
      <c r="B92" s="123">
        <v>80</v>
      </c>
      <c r="C92" s="124" t="s">
        <v>356</v>
      </c>
      <c r="D92" s="123">
        <v>8.9</v>
      </c>
      <c r="E92" s="123">
        <v>21.8</v>
      </c>
      <c r="F92" s="123">
        <v>0.1875</v>
      </c>
      <c r="G92" s="123">
        <v>328.96</v>
      </c>
      <c r="H92" s="123">
        <v>2586</v>
      </c>
      <c r="I92" s="123">
        <v>10</v>
      </c>
      <c r="J92" t="s">
        <v>786</v>
      </c>
    </row>
    <row r="93" spans="1:10" x14ac:dyDescent="0.25">
      <c r="A93" s="123" t="s">
        <v>680</v>
      </c>
      <c r="B93" s="123">
        <v>85</v>
      </c>
      <c r="C93" s="124" t="s">
        <v>356</v>
      </c>
      <c r="D93" s="123">
        <v>8.9</v>
      </c>
      <c r="E93" s="123">
        <v>22.64</v>
      </c>
      <c r="F93" s="123">
        <v>0.1875</v>
      </c>
      <c r="G93" s="123">
        <v>354.51</v>
      </c>
      <c r="H93" s="123">
        <v>2812</v>
      </c>
      <c r="I93" s="123">
        <v>10.5</v>
      </c>
      <c r="J93" t="s">
        <v>786</v>
      </c>
    </row>
    <row r="94" spans="1:10" x14ac:dyDescent="0.25">
      <c r="A94" s="123" t="s">
        <v>681</v>
      </c>
      <c r="B94" s="123">
        <v>90</v>
      </c>
      <c r="C94" s="124" t="s">
        <v>356</v>
      </c>
      <c r="D94" s="123">
        <v>8.9</v>
      </c>
      <c r="E94" s="123">
        <v>23.48</v>
      </c>
      <c r="F94" s="123">
        <v>0.1875</v>
      </c>
      <c r="G94" s="123">
        <v>381.01</v>
      </c>
      <c r="H94" s="123">
        <v>3046</v>
      </c>
      <c r="I94" s="123">
        <v>11</v>
      </c>
      <c r="J94" t="s">
        <v>786</v>
      </c>
    </row>
    <row r="95" spans="1:10" x14ac:dyDescent="0.25">
      <c r="A95" s="123" t="s">
        <v>682</v>
      </c>
      <c r="B95" s="123">
        <v>95</v>
      </c>
      <c r="C95" s="124" t="s">
        <v>356</v>
      </c>
      <c r="D95" s="123">
        <v>8.9</v>
      </c>
      <c r="E95" s="123">
        <v>24.32</v>
      </c>
      <c r="F95" s="123">
        <v>0.1875</v>
      </c>
      <c r="G95" s="123">
        <v>408.47</v>
      </c>
      <c r="H95" s="123">
        <v>3300</v>
      </c>
      <c r="I95" s="123">
        <v>11.5</v>
      </c>
      <c r="J95" t="s">
        <v>786</v>
      </c>
    </row>
    <row r="96" spans="1:10" x14ac:dyDescent="0.25">
      <c r="A96" s="123" t="s">
        <v>683</v>
      </c>
      <c r="B96" s="123">
        <v>100</v>
      </c>
      <c r="C96" s="124" t="s">
        <v>356</v>
      </c>
      <c r="D96" s="123">
        <v>8.9</v>
      </c>
      <c r="E96" s="123">
        <v>25.16</v>
      </c>
      <c r="F96" s="123">
        <v>0.1875</v>
      </c>
      <c r="G96" s="123">
        <v>433.26</v>
      </c>
      <c r="H96" s="123">
        <v>3552</v>
      </c>
      <c r="I96" s="123">
        <v>12</v>
      </c>
      <c r="J96" t="s">
        <v>786</v>
      </c>
    </row>
    <row r="97" spans="1:10" x14ac:dyDescent="0.25">
      <c r="A97" s="123" t="s">
        <v>684</v>
      </c>
      <c r="B97" s="123">
        <v>105</v>
      </c>
      <c r="C97" s="124" t="s">
        <v>356</v>
      </c>
      <c r="D97" s="123">
        <v>8.9</v>
      </c>
      <c r="E97" s="123">
        <v>25.45</v>
      </c>
      <c r="F97" s="123">
        <v>0.1875</v>
      </c>
      <c r="G97" s="123">
        <v>439.33</v>
      </c>
      <c r="H97" s="123">
        <v>3940</v>
      </c>
      <c r="I97" s="123">
        <v>12.5</v>
      </c>
      <c r="J97" t="s">
        <v>786</v>
      </c>
    </row>
    <row r="98" spans="1:10" x14ac:dyDescent="0.25">
      <c r="A98" s="123" t="s">
        <v>685</v>
      </c>
      <c r="B98" s="123">
        <v>110</v>
      </c>
      <c r="C98" s="124" t="s">
        <v>356</v>
      </c>
      <c r="D98" s="123">
        <v>8.9</v>
      </c>
      <c r="E98" s="123">
        <v>26.29</v>
      </c>
      <c r="F98" s="123">
        <v>0.1875</v>
      </c>
      <c r="G98" s="123">
        <v>460.85</v>
      </c>
      <c r="H98" s="123">
        <v>4203</v>
      </c>
      <c r="I98" s="123">
        <v>13</v>
      </c>
      <c r="J98" t="s">
        <v>786</v>
      </c>
    </row>
    <row r="99" spans="1:10" x14ac:dyDescent="0.25">
      <c r="A99" s="123" t="s">
        <v>686</v>
      </c>
      <c r="B99" s="123">
        <v>115</v>
      </c>
      <c r="C99" s="124" t="s">
        <v>356</v>
      </c>
      <c r="D99" s="123">
        <v>8.9</v>
      </c>
      <c r="E99" s="123">
        <v>27.13</v>
      </c>
      <c r="F99" s="123">
        <v>0.1875</v>
      </c>
      <c r="G99" s="123">
        <v>482.32</v>
      </c>
      <c r="H99" s="123">
        <v>4475</v>
      </c>
      <c r="I99" s="123">
        <v>13.5</v>
      </c>
      <c r="J99" t="s">
        <v>786</v>
      </c>
    </row>
    <row r="100" spans="1:10" x14ac:dyDescent="0.25">
      <c r="A100" s="55" t="s">
        <v>687</v>
      </c>
      <c r="B100" s="55">
        <v>120</v>
      </c>
      <c r="C100" s="124" t="s">
        <v>356</v>
      </c>
      <c r="D100" s="55">
        <v>8.9</v>
      </c>
      <c r="E100" s="55">
        <v>27.97</v>
      </c>
      <c r="F100" s="55">
        <v>0.1875</v>
      </c>
      <c r="G100" s="55">
        <v>503.69</v>
      </c>
      <c r="H100" s="55">
        <v>4756</v>
      </c>
      <c r="I100" s="55">
        <v>14</v>
      </c>
      <c r="J100" t="s">
        <v>786</v>
      </c>
    </row>
    <row r="101" spans="1:10" x14ac:dyDescent="0.25">
      <c r="A101" s="123" t="s">
        <v>688</v>
      </c>
      <c r="B101" s="123">
        <v>125</v>
      </c>
      <c r="C101" s="124" t="s">
        <v>356</v>
      </c>
      <c r="D101" s="123">
        <v>8.9</v>
      </c>
      <c r="E101" s="123">
        <v>28.81</v>
      </c>
      <c r="F101" s="123">
        <v>0.1875</v>
      </c>
      <c r="G101" s="123">
        <v>524.91999999999996</v>
      </c>
      <c r="H101" s="123">
        <v>5045</v>
      </c>
      <c r="I101" s="123">
        <v>14.5</v>
      </c>
      <c r="J101" t="s">
        <v>786</v>
      </c>
    </row>
    <row r="102" spans="1:10" x14ac:dyDescent="0.25">
      <c r="A102" s="123" t="s">
        <v>689</v>
      </c>
      <c r="B102" s="123">
        <v>130</v>
      </c>
      <c r="C102" s="124" t="s">
        <v>356</v>
      </c>
      <c r="D102" s="123">
        <v>8.9</v>
      </c>
      <c r="E102" s="123">
        <v>29.65</v>
      </c>
      <c r="F102" s="123">
        <v>0.1875</v>
      </c>
      <c r="G102" s="123">
        <v>545.95000000000005</v>
      </c>
      <c r="H102" s="123">
        <v>5343</v>
      </c>
      <c r="I102" s="123">
        <v>15</v>
      </c>
      <c r="J102" t="s">
        <v>786</v>
      </c>
    </row>
    <row r="103" spans="1:10" x14ac:dyDescent="0.25">
      <c r="A103" s="123" t="s">
        <v>690</v>
      </c>
      <c r="B103" s="123">
        <v>40</v>
      </c>
      <c r="C103" s="124" t="s">
        <v>355</v>
      </c>
      <c r="D103" s="123">
        <v>8.8000000000000007</v>
      </c>
      <c r="E103" s="123">
        <v>16.64</v>
      </c>
      <c r="F103" s="123">
        <v>0.1875</v>
      </c>
      <c r="G103" s="123">
        <v>192.75</v>
      </c>
      <c r="H103" s="123">
        <v>1033</v>
      </c>
      <c r="I103" s="123">
        <v>6</v>
      </c>
      <c r="J103" t="s">
        <v>786</v>
      </c>
    </row>
    <row r="104" spans="1:10" x14ac:dyDescent="0.25">
      <c r="A104" s="123" t="s">
        <v>691</v>
      </c>
      <c r="B104" s="123">
        <v>45</v>
      </c>
      <c r="C104" s="124" t="s">
        <v>355</v>
      </c>
      <c r="D104" s="123">
        <v>8.8000000000000007</v>
      </c>
      <c r="E104" s="123">
        <v>17.62</v>
      </c>
      <c r="F104" s="123">
        <v>0.1875</v>
      </c>
      <c r="G104" s="123">
        <v>215.79</v>
      </c>
      <c r="H104" s="123">
        <v>1207</v>
      </c>
      <c r="I104" s="123">
        <v>6.5</v>
      </c>
      <c r="J104" t="s">
        <v>786</v>
      </c>
    </row>
    <row r="105" spans="1:10" x14ac:dyDescent="0.25">
      <c r="A105" s="123" t="s">
        <v>692</v>
      </c>
      <c r="B105" s="123">
        <v>50</v>
      </c>
      <c r="C105" s="124" t="s">
        <v>355</v>
      </c>
      <c r="D105" s="123">
        <v>8.8000000000000007</v>
      </c>
      <c r="E105" s="123">
        <v>18.600000000000001</v>
      </c>
      <c r="F105" s="123">
        <v>0.1875</v>
      </c>
      <c r="G105" s="123">
        <v>240.13</v>
      </c>
      <c r="H105" s="123">
        <v>1391</v>
      </c>
      <c r="I105" s="123">
        <v>7</v>
      </c>
      <c r="J105" t="s">
        <v>786</v>
      </c>
    </row>
    <row r="106" spans="1:10" x14ac:dyDescent="0.25">
      <c r="A106" s="123" t="s">
        <v>693</v>
      </c>
      <c r="B106" s="123">
        <v>55</v>
      </c>
      <c r="C106" s="124" t="s">
        <v>355</v>
      </c>
      <c r="D106" s="123">
        <v>8.8000000000000007</v>
      </c>
      <c r="E106" s="123">
        <v>19.010000000000002</v>
      </c>
      <c r="F106" s="123">
        <v>0.1875</v>
      </c>
      <c r="G106" s="123">
        <v>249.02</v>
      </c>
      <c r="H106" s="123">
        <v>1667</v>
      </c>
      <c r="I106" s="123">
        <v>7.5</v>
      </c>
      <c r="J106" t="s">
        <v>786</v>
      </c>
    </row>
    <row r="107" spans="1:10" x14ac:dyDescent="0.25">
      <c r="A107" s="123" t="s">
        <v>694</v>
      </c>
      <c r="B107" s="123">
        <v>60</v>
      </c>
      <c r="C107" s="124" t="s">
        <v>355</v>
      </c>
      <c r="D107" s="123">
        <v>8.8000000000000007</v>
      </c>
      <c r="E107" s="123">
        <v>19.989999999999998</v>
      </c>
      <c r="F107" s="123">
        <v>0.1875</v>
      </c>
      <c r="G107" s="123">
        <v>275.12</v>
      </c>
      <c r="H107" s="123">
        <v>1865</v>
      </c>
      <c r="I107" s="123">
        <v>8</v>
      </c>
      <c r="J107" t="s">
        <v>786</v>
      </c>
    </row>
    <row r="108" spans="1:10" x14ac:dyDescent="0.25">
      <c r="A108" s="123" t="s">
        <v>695</v>
      </c>
      <c r="B108" s="123">
        <v>65</v>
      </c>
      <c r="C108" s="124" t="s">
        <v>355</v>
      </c>
      <c r="D108" s="123">
        <v>8.8000000000000007</v>
      </c>
      <c r="E108" s="123">
        <v>20.97</v>
      </c>
      <c r="F108" s="123">
        <v>0.1875</v>
      </c>
      <c r="G108" s="123">
        <v>302.52</v>
      </c>
      <c r="H108" s="123">
        <v>2073</v>
      </c>
      <c r="I108" s="123">
        <v>8.5</v>
      </c>
      <c r="J108" t="s">
        <v>786</v>
      </c>
    </row>
    <row r="109" spans="1:10" x14ac:dyDescent="0.25">
      <c r="A109" s="123" t="s">
        <v>696</v>
      </c>
      <c r="B109" s="123">
        <v>70</v>
      </c>
      <c r="C109" s="124" t="s">
        <v>355</v>
      </c>
      <c r="D109" s="123">
        <v>8.8000000000000007</v>
      </c>
      <c r="E109" s="123">
        <v>21.95</v>
      </c>
      <c r="F109" s="123">
        <v>0.1875</v>
      </c>
      <c r="G109" s="123">
        <v>331.22</v>
      </c>
      <c r="H109" s="123">
        <v>2291</v>
      </c>
      <c r="I109" s="123">
        <v>9</v>
      </c>
      <c r="J109" t="s">
        <v>786</v>
      </c>
    </row>
    <row r="110" spans="1:10" x14ac:dyDescent="0.25">
      <c r="A110" s="123" t="s">
        <v>697</v>
      </c>
      <c r="B110" s="123">
        <v>75</v>
      </c>
      <c r="C110" s="124" t="s">
        <v>355</v>
      </c>
      <c r="D110" s="123">
        <v>8.8000000000000007</v>
      </c>
      <c r="E110" s="123">
        <v>22.93</v>
      </c>
      <c r="F110" s="123">
        <v>0.1875</v>
      </c>
      <c r="G110" s="123">
        <v>361.22</v>
      </c>
      <c r="H110" s="123">
        <v>2519</v>
      </c>
      <c r="I110" s="123">
        <v>9.5</v>
      </c>
      <c r="J110" t="s">
        <v>786</v>
      </c>
    </row>
    <row r="111" spans="1:10" x14ac:dyDescent="0.25">
      <c r="A111" s="123" t="s">
        <v>698</v>
      </c>
      <c r="B111" s="123">
        <v>80</v>
      </c>
      <c r="C111" s="124" t="s">
        <v>355</v>
      </c>
      <c r="D111" s="123">
        <v>8.8000000000000007</v>
      </c>
      <c r="E111" s="123">
        <v>23.91</v>
      </c>
      <c r="F111" s="123">
        <v>0.1875</v>
      </c>
      <c r="G111" s="123">
        <v>392.52</v>
      </c>
      <c r="H111" s="123">
        <v>2758</v>
      </c>
      <c r="I111" s="123">
        <v>10</v>
      </c>
      <c r="J111" t="s">
        <v>786</v>
      </c>
    </row>
    <row r="112" spans="1:10" x14ac:dyDescent="0.25">
      <c r="A112" s="123" t="s">
        <v>699</v>
      </c>
      <c r="B112" s="123">
        <v>85</v>
      </c>
      <c r="C112" s="124" t="s">
        <v>355</v>
      </c>
      <c r="D112" s="123">
        <v>8.8000000000000007</v>
      </c>
      <c r="E112" s="123">
        <v>24.89</v>
      </c>
      <c r="F112" s="123">
        <v>0.1875</v>
      </c>
      <c r="G112" s="123">
        <v>424.43</v>
      </c>
      <c r="H112" s="123">
        <v>3006</v>
      </c>
      <c r="I112" s="123">
        <v>10.5</v>
      </c>
      <c r="J112" t="s">
        <v>786</v>
      </c>
    </row>
    <row r="113" spans="1:10" x14ac:dyDescent="0.25">
      <c r="A113" s="123" t="s">
        <v>700</v>
      </c>
      <c r="B113" s="123">
        <v>90</v>
      </c>
      <c r="C113" s="124" t="s">
        <v>355</v>
      </c>
      <c r="D113" s="123">
        <v>8.8000000000000007</v>
      </c>
      <c r="E113" s="123">
        <v>25.87</v>
      </c>
      <c r="F113" s="123">
        <v>0.1875</v>
      </c>
      <c r="G113" s="123">
        <v>449.55</v>
      </c>
      <c r="H113" s="123">
        <v>3264</v>
      </c>
      <c r="I113" s="123">
        <v>11</v>
      </c>
      <c r="J113" t="s">
        <v>786</v>
      </c>
    </row>
    <row r="114" spans="1:10" x14ac:dyDescent="0.25">
      <c r="A114" s="123" t="s">
        <v>701</v>
      </c>
      <c r="B114" s="123">
        <v>95</v>
      </c>
      <c r="C114" s="124" t="s">
        <v>355</v>
      </c>
      <c r="D114" s="123">
        <v>8.8000000000000007</v>
      </c>
      <c r="E114" s="123">
        <v>26.85</v>
      </c>
      <c r="F114" s="123">
        <v>0.1875</v>
      </c>
      <c r="G114" s="123">
        <v>474.64</v>
      </c>
      <c r="H114" s="123">
        <v>3553</v>
      </c>
      <c r="I114" s="123">
        <v>11.5</v>
      </c>
      <c r="J114" t="s">
        <v>786</v>
      </c>
    </row>
    <row r="115" spans="1:10" x14ac:dyDescent="0.25">
      <c r="A115" s="123" t="s">
        <v>702</v>
      </c>
      <c r="B115" s="123">
        <v>100</v>
      </c>
      <c r="C115" s="124" t="s">
        <v>355</v>
      </c>
      <c r="D115" s="123">
        <v>8.8000000000000007</v>
      </c>
      <c r="E115" s="123">
        <v>27.83</v>
      </c>
      <c r="F115" s="123">
        <v>0.1875</v>
      </c>
      <c r="G115" s="123">
        <v>499.6</v>
      </c>
      <c r="H115" s="123">
        <v>3832</v>
      </c>
      <c r="I115" s="123">
        <v>12</v>
      </c>
      <c r="J115" t="s">
        <v>786</v>
      </c>
    </row>
    <row r="116" spans="1:10" x14ac:dyDescent="0.25">
      <c r="A116" s="123" t="s">
        <v>703</v>
      </c>
      <c r="B116" s="123">
        <v>105</v>
      </c>
      <c r="C116" s="124" t="s">
        <v>355</v>
      </c>
      <c r="D116" s="123">
        <v>8.8000000000000007</v>
      </c>
      <c r="E116" s="123">
        <v>28.24</v>
      </c>
      <c r="F116" s="123">
        <v>0.1875</v>
      </c>
      <c r="G116" s="123">
        <v>508.37</v>
      </c>
      <c r="H116" s="123">
        <v>4265</v>
      </c>
      <c r="I116" s="123">
        <v>12.5</v>
      </c>
      <c r="J116" t="s">
        <v>786</v>
      </c>
    </row>
    <row r="117" spans="1:10" x14ac:dyDescent="0.25">
      <c r="A117" s="123" t="s">
        <v>704</v>
      </c>
      <c r="B117" s="123">
        <v>110</v>
      </c>
      <c r="C117" s="124" t="s">
        <v>355</v>
      </c>
      <c r="D117" s="123">
        <v>8.8000000000000007</v>
      </c>
      <c r="E117" s="123">
        <v>29.22</v>
      </c>
      <c r="F117" s="123">
        <v>0.1875</v>
      </c>
      <c r="G117" s="123">
        <v>533.05999999999995</v>
      </c>
      <c r="H117" s="123">
        <v>4558</v>
      </c>
      <c r="I117" s="123">
        <v>13</v>
      </c>
      <c r="J117" t="s">
        <v>786</v>
      </c>
    </row>
    <row r="118" spans="1:10" x14ac:dyDescent="0.25">
      <c r="A118" s="123" t="s">
        <v>705</v>
      </c>
      <c r="B118" s="123">
        <v>115</v>
      </c>
      <c r="C118" s="124" t="s">
        <v>355</v>
      </c>
      <c r="D118" s="123">
        <v>8.8000000000000007</v>
      </c>
      <c r="E118" s="123">
        <v>30.22</v>
      </c>
      <c r="F118" s="123">
        <v>0.1875</v>
      </c>
      <c r="G118" s="123">
        <v>557.47</v>
      </c>
      <c r="H118" s="123">
        <v>4861</v>
      </c>
      <c r="I118" s="123">
        <v>13.5</v>
      </c>
      <c r="J118" t="s">
        <v>786</v>
      </c>
    </row>
    <row r="119" spans="1:10" x14ac:dyDescent="0.25">
      <c r="A119" s="123" t="s">
        <v>706</v>
      </c>
      <c r="B119" s="123">
        <v>120</v>
      </c>
      <c r="C119" s="124" t="s">
        <v>355</v>
      </c>
      <c r="D119" s="123">
        <v>8.8000000000000007</v>
      </c>
      <c r="E119" s="123">
        <v>31.18</v>
      </c>
      <c r="F119" s="123">
        <v>0.1875</v>
      </c>
      <c r="G119" s="123">
        <v>581.52</v>
      </c>
      <c r="H119" s="123">
        <v>5174</v>
      </c>
      <c r="I119" s="123">
        <v>14</v>
      </c>
      <c r="J119" t="s">
        <v>786</v>
      </c>
    </row>
    <row r="120" spans="1:10" x14ac:dyDescent="0.25">
      <c r="A120" s="55" t="s">
        <v>707</v>
      </c>
      <c r="B120" s="55">
        <v>125</v>
      </c>
      <c r="C120" s="124" t="s">
        <v>355</v>
      </c>
      <c r="D120" s="55">
        <v>8.8000000000000007</v>
      </c>
      <c r="E120" s="55">
        <v>32.159999999999997</v>
      </c>
      <c r="F120" s="55">
        <v>0.1875</v>
      </c>
      <c r="G120" s="55">
        <v>605.13</v>
      </c>
      <c r="H120" s="55">
        <v>5498</v>
      </c>
      <c r="I120" s="55">
        <v>14.5</v>
      </c>
      <c r="J120" t="s">
        <v>786</v>
      </c>
    </row>
    <row r="121" spans="1:10" x14ac:dyDescent="0.25">
      <c r="A121" s="123" t="s">
        <v>708</v>
      </c>
      <c r="B121" s="123">
        <v>130</v>
      </c>
      <c r="C121" s="124" t="s">
        <v>355</v>
      </c>
      <c r="D121" s="123">
        <v>8.8000000000000007</v>
      </c>
      <c r="E121" s="123">
        <v>33.14</v>
      </c>
      <c r="F121" s="123">
        <v>0.1875</v>
      </c>
      <c r="G121" s="123">
        <v>628.22</v>
      </c>
      <c r="H121" s="123">
        <v>5831</v>
      </c>
      <c r="I121" s="123">
        <v>15</v>
      </c>
      <c r="J121" t="s">
        <v>786</v>
      </c>
    </row>
    <row r="122" spans="1:10" x14ac:dyDescent="0.25">
      <c r="A122" s="123" t="s">
        <v>727</v>
      </c>
      <c r="B122" s="123">
        <v>40</v>
      </c>
      <c r="C122" s="124" t="s">
        <v>354</v>
      </c>
      <c r="D122" s="123">
        <v>9.4499999999999993</v>
      </c>
      <c r="E122" s="123">
        <v>15.97</v>
      </c>
      <c r="F122" s="123">
        <v>0.25</v>
      </c>
      <c r="G122" s="123">
        <v>238.26</v>
      </c>
      <c r="H122" s="123">
        <v>1368</v>
      </c>
      <c r="I122" s="123">
        <v>6</v>
      </c>
      <c r="J122" t="s">
        <v>786</v>
      </c>
    </row>
    <row r="123" spans="1:10" x14ac:dyDescent="0.25">
      <c r="A123" s="123" t="s">
        <v>709</v>
      </c>
      <c r="B123" s="123">
        <v>45</v>
      </c>
      <c r="C123" s="124" t="s">
        <v>354</v>
      </c>
      <c r="D123" s="123">
        <v>9.4499999999999993</v>
      </c>
      <c r="E123" s="123">
        <v>16.78</v>
      </c>
      <c r="F123" s="123">
        <v>0.25</v>
      </c>
      <c r="G123" s="123">
        <v>262.76</v>
      </c>
      <c r="H123" s="123">
        <v>1589</v>
      </c>
      <c r="I123" s="123">
        <v>6.5</v>
      </c>
      <c r="J123" t="s">
        <v>786</v>
      </c>
    </row>
    <row r="124" spans="1:10" x14ac:dyDescent="0.25">
      <c r="A124" s="123" t="s">
        <v>710</v>
      </c>
      <c r="B124" s="123">
        <v>50</v>
      </c>
      <c r="C124" s="124" t="s">
        <v>354</v>
      </c>
      <c r="D124" s="123">
        <v>9.4499999999999993</v>
      </c>
      <c r="E124" s="123">
        <v>17.600000000000001</v>
      </c>
      <c r="F124" s="123">
        <v>0.25</v>
      </c>
      <c r="G124" s="123">
        <v>288.45999999999998</v>
      </c>
      <c r="H124" s="123">
        <v>1821</v>
      </c>
      <c r="I124" s="123">
        <v>7</v>
      </c>
      <c r="J124" t="s">
        <v>786</v>
      </c>
    </row>
    <row r="125" spans="1:10" x14ac:dyDescent="0.25">
      <c r="A125" s="123" t="s">
        <v>711</v>
      </c>
      <c r="B125" s="123">
        <v>55</v>
      </c>
      <c r="C125" s="124" t="s">
        <v>354</v>
      </c>
      <c r="D125" s="123">
        <v>9.4499999999999993</v>
      </c>
      <c r="E125" s="123">
        <v>17.75</v>
      </c>
      <c r="F125" s="123">
        <v>0.25</v>
      </c>
      <c r="G125" s="123">
        <v>290.99</v>
      </c>
      <c r="H125" s="123">
        <v>2163</v>
      </c>
      <c r="I125" s="123">
        <v>7.5</v>
      </c>
      <c r="J125" t="s">
        <v>786</v>
      </c>
    </row>
    <row r="126" spans="1:10" x14ac:dyDescent="0.25">
      <c r="A126" s="123" t="s">
        <v>712</v>
      </c>
      <c r="B126" s="123">
        <v>60</v>
      </c>
      <c r="C126" s="124" t="s">
        <v>354</v>
      </c>
      <c r="D126" s="123">
        <v>9.4499999999999993</v>
      </c>
      <c r="E126" s="123">
        <v>18.57</v>
      </c>
      <c r="F126" s="123">
        <v>0.25</v>
      </c>
      <c r="G126" s="123">
        <v>318.01</v>
      </c>
      <c r="H126" s="123">
        <v>2408</v>
      </c>
      <c r="I126" s="123">
        <v>8</v>
      </c>
      <c r="J126" t="s">
        <v>786</v>
      </c>
    </row>
    <row r="127" spans="1:10" x14ac:dyDescent="0.25">
      <c r="A127" s="123" t="s">
        <v>713</v>
      </c>
      <c r="B127" s="123">
        <v>65</v>
      </c>
      <c r="C127" s="124" t="s">
        <v>354</v>
      </c>
      <c r="D127" s="123">
        <v>9.4499999999999993</v>
      </c>
      <c r="E127" s="123">
        <v>19.38</v>
      </c>
      <c r="F127" s="123">
        <v>0.25</v>
      </c>
      <c r="G127" s="123">
        <v>346.22</v>
      </c>
      <c r="H127" s="123">
        <v>2664</v>
      </c>
      <c r="I127" s="123">
        <v>8.5</v>
      </c>
      <c r="J127" t="s">
        <v>786</v>
      </c>
    </row>
    <row r="128" spans="1:10" x14ac:dyDescent="0.25">
      <c r="A128" s="123" t="s">
        <v>714</v>
      </c>
      <c r="B128" s="123">
        <v>70</v>
      </c>
      <c r="C128" s="124" t="s">
        <v>354</v>
      </c>
      <c r="D128" s="123">
        <v>9.4499999999999993</v>
      </c>
      <c r="E128" s="123">
        <v>20.2</v>
      </c>
      <c r="F128" s="123">
        <v>0.25</v>
      </c>
      <c r="G128" s="123">
        <v>375.63</v>
      </c>
      <c r="H128" s="123">
        <v>2932</v>
      </c>
      <c r="I128" s="123">
        <v>9</v>
      </c>
      <c r="J128" t="s">
        <v>786</v>
      </c>
    </row>
    <row r="129" spans="1:10" x14ac:dyDescent="0.25">
      <c r="A129" s="123" t="s">
        <v>715</v>
      </c>
      <c r="B129" s="123">
        <v>75</v>
      </c>
      <c r="C129" s="124" t="s">
        <v>354</v>
      </c>
      <c r="D129" s="123">
        <v>9.4499999999999993</v>
      </c>
      <c r="E129" s="123">
        <v>21.01</v>
      </c>
      <c r="F129" s="123">
        <v>0.25</v>
      </c>
      <c r="G129" s="123">
        <v>406.24</v>
      </c>
      <c r="H129" s="123">
        <v>3211</v>
      </c>
      <c r="I129" s="123">
        <v>9.5</v>
      </c>
      <c r="J129" t="s">
        <v>786</v>
      </c>
    </row>
    <row r="130" spans="1:10" x14ac:dyDescent="0.25">
      <c r="A130" s="123" t="s">
        <v>716</v>
      </c>
      <c r="B130" s="123">
        <v>80</v>
      </c>
      <c r="C130" s="124" t="s">
        <v>354</v>
      </c>
      <c r="D130" s="123">
        <v>9.4499999999999993</v>
      </c>
      <c r="E130" s="123">
        <v>21.83</v>
      </c>
      <c r="F130" s="123">
        <v>0.25</v>
      </c>
      <c r="G130" s="123">
        <v>438.06</v>
      </c>
      <c r="H130" s="123">
        <v>3500</v>
      </c>
      <c r="I130" s="123">
        <v>10</v>
      </c>
      <c r="J130" t="s">
        <v>786</v>
      </c>
    </row>
    <row r="131" spans="1:10" x14ac:dyDescent="0.25">
      <c r="A131" s="123" t="s">
        <v>717</v>
      </c>
      <c r="B131" s="123">
        <v>85</v>
      </c>
      <c r="C131" s="124" t="s">
        <v>354</v>
      </c>
      <c r="D131" s="123">
        <v>9.4499999999999993</v>
      </c>
      <c r="E131" s="123">
        <v>22.64</v>
      </c>
      <c r="F131" s="123">
        <v>0.25</v>
      </c>
      <c r="G131" s="123">
        <v>471.07</v>
      </c>
      <c r="H131" s="123">
        <v>3801</v>
      </c>
      <c r="I131" s="123">
        <v>10.5</v>
      </c>
      <c r="J131" t="s">
        <v>786</v>
      </c>
    </row>
    <row r="132" spans="1:10" x14ac:dyDescent="0.25">
      <c r="A132" s="123" t="s">
        <v>718</v>
      </c>
      <c r="B132" s="123">
        <v>90</v>
      </c>
      <c r="C132" s="124" t="s">
        <v>354</v>
      </c>
      <c r="D132" s="123">
        <v>9.4499999999999993</v>
      </c>
      <c r="E132" s="123">
        <v>23.46</v>
      </c>
      <c r="F132" s="123">
        <v>0.25</v>
      </c>
      <c r="G132" s="123">
        <v>505.28</v>
      </c>
      <c r="H132" s="123">
        <v>4113</v>
      </c>
      <c r="I132" s="123">
        <v>11</v>
      </c>
      <c r="J132" t="s">
        <v>786</v>
      </c>
    </row>
    <row r="133" spans="1:10" x14ac:dyDescent="0.25">
      <c r="A133" s="123" t="s">
        <v>719</v>
      </c>
      <c r="B133" s="123">
        <v>95</v>
      </c>
      <c r="C133" s="124" t="s">
        <v>354</v>
      </c>
      <c r="D133" s="123">
        <v>9.4499999999999993</v>
      </c>
      <c r="E133" s="123">
        <v>24.27</v>
      </c>
      <c r="F133" s="123">
        <v>0.25</v>
      </c>
      <c r="G133" s="123">
        <v>540.69000000000005</v>
      </c>
      <c r="H133" s="123">
        <v>4451</v>
      </c>
      <c r="I133" s="123">
        <v>11.5</v>
      </c>
      <c r="J133" t="s">
        <v>786</v>
      </c>
    </row>
    <row r="134" spans="1:10" x14ac:dyDescent="0.25">
      <c r="A134" s="123" t="s">
        <v>720</v>
      </c>
      <c r="B134" s="123">
        <v>100</v>
      </c>
      <c r="C134" s="124" t="s">
        <v>354</v>
      </c>
      <c r="D134" s="123">
        <v>9.4499999999999993</v>
      </c>
      <c r="E134" s="123">
        <v>25.09</v>
      </c>
      <c r="F134" s="123">
        <v>0.25</v>
      </c>
      <c r="G134" s="123">
        <v>577.29</v>
      </c>
      <c r="H134" s="123">
        <v>4785</v>
      </c>
      <c r="I134" s="123">
        <v>12</v>
      </c>
      <c r="J134" t="s">
        <v>786</v>
      </c>
    </row>
    <row r="135" spans="1:10" x14ac:dyDescent="0.25">
      <c r="A135" s="123" t="s">
        <v>721</v>
      </c>
      <c r="B135" s="123">
        <v>105</v>
      </c>
      <c r="C135" s="124" t="s">
        <v>354</v>
      </c>
      <c r="D135" s="123">
        <v>9.4499999999999993</v>
      </c>
      <c r="E135" s="123">
        <v>25.24</v>
      </c>
      <c r="F135" s="123">
        <v>0.25</v>
      </c>
      <c r="G135" s="123">
        <v>580.88</v>
      </c>
      <c r="H135" s="123">
        <v>5292</v>
      </c>
      <c r="I135" s="123">
        <v>12.5</v>
      </c>
      <c r="J135" t="s">
        <v>786</v>
      </c>
    </row>
    <row r="136" spans="1:10" x14ac:dyDescent="0.25">
      <c r="A136" s="123" t="s">
        <v>722</v>
      </c>
      <c r="B136" s="123">
        <v>110</v>
      </c>
      <c r="C136" s="124" t="s">
        <v>354</v>
      </c>
      <c r="D136" s="123">
        <v>9.4499999999999993</v>
      </c>
      <c r="E136" s="123">
        <v>26.05</v>
      </c>
      <c r="F136" s="123">
        <v>0.25</v>
      </c>
      <c r="G136" s="123">
        <v>618.79999999999995</v>
      </c>
      <c r="H136" s="123">
        <v>5639</v>
      </c>
      <c r="I136" s="123">
        <v>13</v>
      </c>
      <c r="J136" t="s">
        <v>786</v>
      </c>
    </row>
    <row r="137" spans="1:10" x14ac:dyDescent="0.25">
      <c r="A137" s="123" t="s">
        <v>723</v>
      </c>
      <c r="B137" s="123">
        <v>115</v>
      </c>
      <c r="C137" s="124" t="s">
        <v>354</v>
      </c>
      <c r="D137" s="123">
        <v>9.4499999999999993</v>
      </c>
      <c r="E137" s="123">
        <v>26.87</v>
      </c>
      <c r="F137" s="123">
        <v>0.25</v>
      </c>
      <c r="G137" s="123">
        <v>657.92</v>
      </c>
      <c r="H137" s="123">
        <v>5998</v>
      </c>
      <c r="I137" s="123">
        <v>13.5</v>
      </c>
      <c r="J137" t="s">
        <v>786</v>
      </c>
    </row>
    <row r="138" spans="1:10" x14ac:dyDescent="0.25">
      <c r="A138" s="123" t="s">
        <v>724</v>
      </c>
      <c r="B138" s="123">
        <v>120</v>
      </c>
      <c r="C138" s="124" t="s">
        <v>354</v>
      </c>
      <c r="D138" s="123">
        <v>9.4499999999999993</v>
      </c>
      <c r="E138" s="123">
        <v>27.68</v>
      </c>
      <c r="F138" s="123">
        <v>0.25</v>
      </c>
      <c r="G138" s="123">
        <v>698.25</v>
      </c>
      <c r="H138" s="123">
        <v>6367</v>
      </c>
      <c r="I138" s="123">
        <v>14</v>
      </c>
      <c r="J138" t="s">
        <v>786</v>
      </c>
    </row>
    <row r="139" spans="1:10" x14ac:dyDescent="0.25">
      <c r="A139" s="123" t="s">
        <v>725</v>
      </c>
      <c r="B139" s="123">
        <v>125</v>
      </c>
      <c r="C139" s="124" t="s">
        <v>354</v>
      </c>
      <c r="D139" s="123">
        <v>9.4499999999999993</v>
      </c>
      <c r="E139" s="123">
        <v>28.5</v>
      </c>
      <c r="F139" s="123">
        <v>0.25</v>
      </c>
      <c r="G139" s="123">
        <v>739.77</v>
      </c>
      <c r="H139" s="123">
        <v>6748</v>
      </c>
      <c r="I139" s="123">
        <v>14.5</v>
      </c>
      <c r="J139" t="s">
        <v>786</v>
      </c>
    </row>
    <row r="140" spans="1:10" x14ac:dyDescent="0.25">
      <c r="A140" s="55" t="s">
        <v>726</v>
      </c>
      <c r="B140" s="55">
        <v>130</v>
      </c>
      <c r="C140" s="124" t="s">
        <v>354</v>
      </c>
      <c r="D140" s="55">
        <v>9.4499999999999993</v>
      </c>
      <c r="E140" s="55">
        <v>29.31</v>
      </c>
      <c r="F140" s="55">
        <v>0.25</v>
      </c>
      <c r="G140" s="55">
        <v>782.49</v>
      </c>
      <c r="H140" s="55">
        <v>7140</v>
      </c>
      <c r="I140" s="55">
        <v>15</v>
      </c>
      <c r="J140" t="s">
        <v>786</v>
      </c>
    </row>
    <row r="141" spans="1:10" x14ac:dyDescent="0.25">
      <c r="A141" s="123" t="s">
        <v>728</v>
      </c>
      <c r="B141" s="123">
        <v>40</v>
      </c>
      <c r="C141" s="124" t="s">
        <v>353</v>
      </c>
      <c r="D141" s="123">
        <v>10.25</v>
      </c>
      <c r="E141" s="123">
        <v>17.09</v>
      </c>
      <c r="F141" s="123">
        <v>0.25</v>
      </c>
      <c r="G141" s="123">
        <v>274.47000000000003</v>
      </c>
      <c r="H141" s="123">
        <v>1474</v>
      </c>
      <c r="I141" s="123">
        <v>6</v>
      </c>
      <c r="J141" t="s">
        <v>786</v>
      </c>
    </row>
    <row r="142" spans="1:10" x14ac:dyDescent="0.25">
      <c r="A142" s="123" t="s">
        <v>729</v>
      </c>
      <c r="B142" s="123">
        <v>45</v>
      </c>
      <c r="C142" s="124" t="s">
        <v>353</v>
      </c>
      <c r="D142" s="123">
        <v>10.25</v>
      </c>
      <c r="E142" s="123">
        <v>17.940000000000001</v>
      </c>
      <c r="F142" s="123">
        <v>0.25</v>
      </c>
      <c r="G142" s="123">
        <v>302.04000000000002</v>
      </c>
      <c r="H142" s="123">
        <v>1710</v>
      </c>
      <c r="I142" s="123">
        <v>6.5</v>
      </c>
      <c r="J142" t="s">
        <v>786</v>
      </c>
    </row>
    <row r="143" spans="1:10" x14ac:dyDescent="0.25">
      <c r="A143" s="123" t="s">
        <v>730</v>
      </c>
      <c r="B143" s="123">
        <v>50</v>
      </c>
      <c r="C143" s="124" t="s">
        <v>353</v>
      </c>
      <c r="D143" s="123">
        <v>10.25</v>
      </c>
      <c r="E143" s="123">
        <v>18.8</v>
      </c>
      <c r="F143" s="123">
        <v>0.25</v>
      </c>
      <c r="G143" s="123">
        <v>330.93</v>
      </c>
      <c r="H143" s="123">
        <v>1958</v>
      </c>
      <c r="I143" s="123">
        <v>7</v>
      </c>
      <c r="J143" t="s">
        <v>786</v>
      </c>
    </row>
    <row r="144" spans="1:10" x14ac:dyDescent="0.25">
      <c r="A144" s="123" t="s">
        <v>731</v>
      </c>
      <c r="B144" s="123">
        <v>55</v>
      </c>
      <c r="C144" s="124" t="s">
        <v>353</v>
      </c>
      <c r="D144" s="123">
        <v>10.25</v>
      </c>
      <c r="E144" s="123">
        <v>18.98</v>
      </c>
      <c r="F144" s="123">
        <v>0.25</v>
      </c>
      <c r="G144" s="123">
        <v>334.73</v>
      </c>
      <c r="H144" s="123">
        <v>2325</v>
      </c>
      <c r="I144" s="123">
        <v>7.5</v>
      </c>
      <c r="J144" t="s">
        <v>786</v>
      </c>
    </row>
    <row r="145" spans="1:10" x14ac:dyDescent="0.25">
      <c r="A145" s="123" t="s">
        <v>732</v>
      </c>
      <c r="B145" s="123">
        <v>60</v>
      </c>
      <c r="C145" s="124" t="s">
        <v>353</v>
      </c>
      <c r="D145" s="123">
        <v>10.25</v>
      </c>
      <c r="E145" s="123">
        <v>19.84</v>
      </c>
      <c r="F145" s="123">
        <v>0.25</v>
      </c>
      <c r="G145" s="123">
        <v>365.11</v>
      </c>
      <c r="H145" s="123">
        <v>2587</v>
      </c>
      <c r="I145" s="123">
        <v>8</v>
      </c>
      <c r="J145" t="s">
        <v>786</v>
      </c>
    </row>
    <row r="146" spans="1:10" x14ac:dyDescent="0.25">
      <c r="A146" s="123" t="s">
        <v>733</v>
      </c>
      <c r="B146" s="123">
        <v>65</v>
      </c>
      <c r="C146" s="124" t="s">
        <v>353</v>
      </c>
      <c r="D146" s="123">
        <v>10.25</v>
      </c>
      <c r="E146" s="123">
        <v>20.69</v>
      </c>
      <c r="F146" s="123">
        <v>0.25</v>
      </c>
      <c r="G146" s="123">
        <v>396.81</v>
      </c>
      <c r="H146" s="123">
        <v>2861</v>
      </c>
      <c r="I146" s="123">
        <v>8.5</v>
      </c>
      <c r="J146" t="s">
        <v>786</v>
      </c>
    </row>
    <row r="147" spans="1:10" x14ac:dyDescent="0.25">
      <c r="A147" s="123" t="s">
        <v>734</v>
      </c>
      <c r="B147" s="123">
        <v>70</v>
      </c>
      <c r="C147" s="124" t="s">
        <v>353</v>
      </c>
      <c r="D147" s="123">
        <v>10.25</v>
      </c>
      <c r="E147" s="123">
        <v>21.55</v>
      </c>
      <c r="F147" s="123">
        <v>0.25</v>
      </c>
      <c r="G147" s="123">
        <v>429.83</v>
      </c>
      <c r="H147" s="123">
        <v>3147</v>
      </c>
      <c r="I147" s="123">
        <v>9</v>
      </c>
      <c r="J147" t="s">
        <v>786</v>
      </c>
    </row>
    <row r="148" spans="1:10" x14ac:dyDescent="0.25">
      <c r="A148" s="123" t="s">
        <v>735</v>
      </c>
      <c r="B148" s="123">
        <v>75</v>
      </c>
      <c r="C148" s="124" t="s">
        <v>353</v>
      </c>
      <c r="D148" s="123">
        <v>10.25</v>
      </c>
      <c r="E148" s="123">
        <v>22.4</v>
      </c>
      <c r="F148" s="123">
        <v>0.25</v>
      </c>
      <c r="G148" s="123">
        <v>464.17</v>
      </c>
      <c r="H148" s="123">
        <v>3444</v>
      </c>
      <c r="I148" s="123">
        <v>9.5</v>
      </c>
      <c r="J148" t="s">
        <v>786</v>
      </c>
    </row>
    <row r="149" spans="1:10" x14ac:dyDescent="0.25">
      <c r="A149" s="123" t="s">
        <v>736</v>
      </c>
      <c r="B149" s="123">
        <v>80</v>
      </c>
      <c r="C149" s="124" t="s">
        <v>353</v>
      </c>
      <c r="D149" s="123">
        <v>10.25</v>
      </c>
      <c r="E149" s="123">
        <v>23.26</v>
      </c>
      <c r="F149" s="123">
        <v>0.25</v>
      </c>
      <c r="G149" s="123">
        <v>499.83</v>
      </c>
      <c r="H149" s="123">
        <v>3753</v>
      </c>
      <c r="I149" s="123">
        <v>10</v>
      </c>
      <c r="J149" t="s">
        <v>786</v>
      </c>
    </row>
    <row r="150" spans="1:10" x14ac:dyDescent="0.25">
      <c r="A150" s="123" t="s">
        <v>737</v>
      </c>
      <c r="B150" s="123">
        <v>85</v>
      </c>
      <c r="C150" s="124" t="s">
        <v>353</v>
      </c>
      <c r="D150" s="123">
        <v>10.25</v>
      </c>
      <c r="E150" s="123">
        <v>24.11</v>
      </c>
      <c r="F150" s="123">
        <v>0.25</v>
      </c>
      <c r="G150" s="123">
        <v>536.80999999999995</v>
      </c>
      <c r="H150" s="123">
        <v>4073</v>
      </c>
      <c r="I150" s="123">
        <v>10.5</v>
      </c>
      <c r="J150" t="s">
        <v>786</v>
      </c>
    </row>
    <row r="151" spans="1:10" x14ac:dyDescent="0.25">
      <c r="A151" s="123" t="s">
        <v>738</v>
      </c>
      <c r="B151" s="123">
        <v>90</v>
      </c>
      <c r="C151" s="124" t="s">
        <v>353</v>
      </c>
      <c r="D151" s="123">
        <v>10.25</v>
      </c>
      <c r="E151" s="123">
        <v>24.97</v>
      </c>
      <c r="F151" s="123">
        <v>0.25</v>
      </c>
      <c r="G151" s="123">
        <v>575.12</v>
      </c>
      <c r="H151" s="123">
        <v>4405</v>
      </c>
      <c r="I151" s="123">
        <v>11</v>
      </c>
      <c r="J151" t="s">
        <v>786</v>
      </c>
    </row>
    <row r="152" spans="1:10" x14ac:dyDescent="0.25">
      <c r="A152" s="123" t="s">
        <v>739</v>
      </c>
      <c r="B152" s="123">
        <v>95</v>
      </c>
      <c r="C152" s="124" t="s">
        <v>353</v>
      </c>
      <c r="D152" s="123">
        <v>10.25</v>
      </c>
      <c r="E152" s="123">
        <v>25.82</v>
      </c>
      <c r="F152" s="123">
        <v>0.25</v>
      </c>
      <c r="G152" s="123">
        <v>614.74</v>
      </c>
      <c r="H152" s="123">
        <v>4778</v>
      </c>
      <c r="I152" s="123">
        <v>11.5</v>
      </c>
      <c r="J152" t="s">
        <v>786</v>
      </c>
    </row>
    <row r="153" spans="1:10" x14ac:dyDescent="0.25">
      <c r="A153" s="123" t="s">
        <v>740</v>
      </c>
      <c r="B153" s="123">
        <v>100</v>
      </c>
      <c r="C153" s="124" t="s">
        <v>353</v>
      </c>
      <c r="D153" s="123">
        <v>10.25</v>
      </c>
      <c r="E153" s="123">
        <v>26.68</v>
      </c>
      <c r="F153" s="123">
        <v>0.25</v>
      </c>
      <c r="G153" s="123">
        <v>655.68</v>
      </c>
      <c r="H153" s="123">
        <v>5134</v>
      </c>
      <c r="I153" s="123">
        <v>12</v>
      </c>
      <c r="J153" t="s">
        <v>786</v>
      </c>
    </row>
    <row r="154" spans="1:10" x14ac:dyDescent="0.25">
      <c r="A154" s="123" t="s">
        <v>741</v>
      </c>
      <c r="B154" s="123">
        <v>105</v>
      </c>
      <c r="C154" s="124" t="s">
        <v>353</v>
      </c>
      <c r="D154" s="123">
        <v>10.25</v>
      </c>
      <c r="E154" s="123">
        <v>26.86</v>
      </c>
      <c r="F154" s="123">
        <v>0.25</v>
      </c>
      <c r="G154" s="123">
        <v>661.01</v>
      </c>
      <c r="H154" s="123">
        <v>5663</v>
      </c>
      <c r="I154" s="123">
        <v>12.5</v>
      </c>
      <c r="J154" t="s">
        <v>786</v>
      </c>
    </row>
    <row r="155" spans="1:10" x14ac:dyDescent="0.25">
      <c r="A155" s="123" t="s">
        <v>742</v>
      </c>
      <c r="B155" s="123">
        <v>110</v>
      </c>
      <c r="C155" s="124" t="s">
        <v>353</v>
      </c>
      <c r="D155" s="123">
        <v>10.25</v>
      </c>
      <c r="E155" s="123">
        <v>27.72</v>
      </c>
      <c r="F155" s="123">
        <v>0.25</v>
      </c>
      <c r="G155" s="123">
        <v>703.44</v>
      </c>
      <c r="H155" s="123">
        <v>6033</v>
      </c>
      <c r="I155" s="123">
        <v>13</v>
      </c>
      <c r="J155" t="s">
        <v>786</v>
      </c>
    </row>
    <row r="156" spans="1:10" x14ac:dyDescent="0.25">
      <c r="A156" s="123" t="s">
        <v>743</v>
      </c>
      <c r="B156" s="123">
        <v>115</v>
      </c>
      <c r="C156" s="124" t="s">
        <v>353</v>
      </c>
      <c r="D156" s="123">
        <v>10.25</v>
      </c>
      <c r="E156" s="123">
        <v>28.57</v>
      </c>
      <c r="F156" s="123">
        <v>0.25</v>
      </c>
      <c r="G156" s="123">
        <v>747.19</v>
      </c>
      <c r="H156" s="123">
        <v>6415</v>
      </c>
      <c r="I156" s="123">
        <v>13.5</v>
      </c>
      <c r="J156" t="s">
        <v>786</v>
      </c>
    </row>
    <row r="157" spans="1:10" x14ac:dyDescent="0.25">
      <c r="A157" s="123" t="s">
        <v>744</v>
      </c>
      <c r="B157" s="123">
        <v>120</v>
      </c>
      <c r="C157" s="124" t="s">
        <v>353</v>
      </c>
      <c r="D157" s="123">
        <v>10.25</v>
      </c>
      <c r="E157" s="123">
        <v>29.43</v>
      </c>
      <c r="F157" s="123">
        <v>0.25</v>
      </c>
      <c r="G157" s="123">
        <v>792.26</v>
      </c>
      <c r="H157" s="123">
        <v>6808</v>
      </c>
      <c r="I157" s="123">
        <v>14</v>
      </c>
      <c r="J157" t="s">
        <v>786</v>
      </c>
    </row>
    <row r="158" spans="1:10" x14ac:dyDescent="0.25">
      <c r="A158" s="123" t="s">
        <v>745</v>
      </c>
      <c r="B158" s="123">
        <v>125</v>
      </c>
      <c r="C158" s="124" t="s">
        <v>353</v>
      </c>
      <c r="D158" s="123">
        <v>10.25</v>
      </c>
      <c r="E158" s="123">
        <v>30.28</v>
      </c>
      <c r="F158" s="123">
        <v>0.25</v>
      </c>
      <c r="G158" s="123">
        <v>838.65</v>
      </c>
      <c r="H158" s="123">
        <v>7213</v>
      </c>
      <c r="I158" s="123">
        <v>14.5</v>
      </c>
      <c r="J158" t="s">
        <v>786</v>
      </c>
    </row>
    <row r="159" spans="1:10" x14ac:dyDescent="0.25">
      <c r="A159" s="123" t="s">
        <v>746</v>
      </c>
      <c r="B159" s="123">
        <v>130</v>
      </c>
      <c r="C159" s="124" t="s">
        <v>353</v>
      </c>
      <c r="D159" s="123">
        <v>10.25</v>
      </c>
      <c r="E159" s="123">
        <v>31.14</v>
      </c>
      <c r="F159" s="123">
        <v>0.25</v>
      </c>
      <c r="G159" s="123">
        <v>886.36</v>
      </c>
      <c r="H159" s="123">
        <v>7629</v>
      </c>
      <c r="I159" s="123">
        <v>15</v>
      </c>
      <c r="J159" t="s">
        <v>786</v>
      </c>
    </row>
  </sheetData>
  <sortState ref="A3:J169">
    <sortCondition ref="C3:C169"/>
    <sortCondition ref="B3:B169"/>
  </sortState>
  <mergeCells count="1">
    <mergeCell ref="A1:J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87"/>
  <sheetViews>
    <sheetView workbookViewId="0">
      <selection sqref="A1:XFD1048576"/>
    </sheetView>
  </sheetViews>
  <sheetFormatPr defaultRowHeight="15" x14ac:dyDescent="0.25"/>
  <cols>
    <col min="1" max="1" width="11.140625" bestFit="1" customWidth="1"/>
    <col min="2" max="2" width="7.28515625" bestFit="1" customWidth="1"/>
    <col min="3" max="3" width="5.42578125" style="137" bestFit="1" customWidth="1"/>
    <col min="4" max="4" width="7.28515625" customWidth="1"/>
    <col min="5" max="5" width="8" bestFit="1" customWidth="1"/>
    <col min="6" max="6" width="9.5703125" bestFit="1" customWidth="1"/>
    <col min="7" max="7" width="11.5703125" bestFit="1" customWidth="1"/>
    <col min="8" max="8" width="7.85546875" bestFit="1" customWidth="1"/>
    <col min="9" max="9" width="9.7109375" bestFit="1" customWidth="1"/>
    <col min="10" max="10" width="8.42578125" bestFit="1" customWidth="1"/>
    <col min="11" max="11" width="10.7109375" customWidth="1"/>
  </cols>
  <sheetData>
    <row r="1" spans="1:10" ht="21" x14ac:dyDescent="0.35">
      <c r="A1" s="250" t="s">
        <v>769</v>
      </c>
      <c r="B1" s="250"/>
      <c r="C1" s="250"/>
      <c r="D1" s="250"/>
      <c r="E1" s="250"/>
      <c r="F1" s="250"/>
      <c r="G1" s="250"/>
      <c r="H1" s="250"/>
      <c r="I1" s="250"/>
      <c r="J1" s="250"/>
    </row>
    <row r="2" spans="1:10" ht="60" x14ac:dyDescent="0.25">
      <c r="A2" s="129" t="s">
        <v>565</v>
      </c>
      <c r="B2" s="3" t="s">
        <v>762</v>
      </c>
      <c r="C2" s="136" t="s">
        <v>1</v>
      </c>
      <c r="D2" s="3" t="s">
        <v>764</v>
      </c>
      <c r="E2" s="3" t="s">
        <v>763</v>
      </c>
      <c r="F2" s="124" t="s">
        <v>765</v>
      </c>
      <c r="G2" s="3" t="s">
        <v>567</v>
      </c>
      <c r="H2" s="3" t="s">
        <v>568</v>
      </c>
      <c r="I2" s="3" t="s">
        <v>566</v>
      </c>
      <c r="J2" s="3" t="s">
        <v>747</v>
      </c>
    </row>
    <row r="3" spans="1:10" x14ac:dyDescent="0.25">
      <c r="A3" t="s">
        <v>501</v>
      </c>
      <c r="B3">
        <v>50</v>
      </c>
      <c r="C3" s="137" t="s">
        <v>752</v>
      </c>
      <c r="D3">
        <v>7.9</v>
      </c>
      <c r="E3">
        <v>13.52</v>
      </c>
      <c r="F3">
        <v>0.1875</v>
      </c>
      <c r="G3">
        <v>115.8</v>
      </c>
      <c r="H3">
        <v>1175</v>
      </c>
      <c r="I3">
        <v>12.68</v>
      </c>
      <c r="J3" s="129" t="s">
        <v>786</v>
      </c>
    </row>
    <row r="4" spans="1:10" x14ac:dyDescent="0.25">
      <c r="A4" t="s">
        <v>500</v>
      </c>
      <c r="B4">
        <v>55</v>
      </c>
      <c r="C4" s="137" t="s">
        <v>752</v>
      </c>
      <c r="D4">
        <v>7.9</v>
      </c>
      <c r="E4">
        <v>14.12</v>
      </c>
      <c r="F4">
        <v>0.1875</v>
      </c>
      <c r="G4">
        <v>128.69999999999999</v>
      </c>
      <c r="H4">
        <v>1319</v>
      </c>
      <c r="I4">
        <v>13.22</v>
      </c>
      <c r="J4" s="129" t="s">
        <v>786</v>
      </c>
    </row>
    <row r="5" spans="1:10" x14ac:dyDescent="0.25">
      <c r="A5" t="s">
        <v>499</v>
      </c>
      <c r="B5">
        <v>60</v>
      </c>
      <c r="C5" s="137" t="s">
        <v>752</v>
      </c>
      <c r="D5">
        <v>7.9</v>
      </c>
      <c r="E5">
        <v>14.72</v>
      </c>
      <c r="F5">
        <v>0.1875</v>
      </c>
      <c r="G5">
        <v>141.6</v>
      </c>
      <c r="H5">
        <v>1470</v>
      </c>
      <c r="I5">
        <v>13.76</v>
      </c>
      <c r="J5" s="129" t="s">
        <v>786</v>
      </c>
    </row>
    <row r="6" spans="1:10" x14ac:dyDescent="0.25">
      <c r="A6" t="s">
        <v>498</v>
      </c>
      <c r="B6">
        <v>65</v>
      </c>
      <c r="C6" s="137" t="s">
        <v>752</v>
      </c>
      <c r="D6">
        <v>7.9</v>
      </c>
      <c r="E6">
        <v>15.32</v>
      </c>
      <c r="F6">
        <v>0.1875</v>
      </c>
      <c r="G6">
        <v>154.5</v>
      </c>
      <c r="H6">
        <v>1634</v>
      </c>
      <c r="I6">
        <v>14.3</v>
      </c>
      <c r="J6" s="129" t="s">
        <v>786</v>
      </c>
    </row>
    <row r="7" spans="1:10" x14ac:dyDescent="0.25">
      <c r="A7" t="s">
        <v>497</v>
      </c>
      <c r="B7">
        <v>70</v>
      </c>
      <c r="C7" s="137" t="s">
        <v>752</v>
      </c>
      <c r="D7">
        <v>7.9</v>
      </c>
      <c r="E7">
        <v>15.92</v>
      </c>
      <c r="F7">
        <v>0.1875</v>
      </c>
      <c r="G7">
        <v>167.5</v>
      </c>
      <c r="H7">
        <v>1797</v>
      </c>
      <c r="I7">
        <v>14.84</v>
      </c>
      <c r="J7" s="129" t="s">
        <v>786</v>
      </c>
    </row>
    <row r="8" spans="1:10" x14ac:dyDescent="0.25">
      <c r="A8" t="s">
        <v>496</v>
      </c>
      <c r="B8">
        <v>75</v>
      </c>
      <c r="C8" s="137" t="s">
        <v>752</v>
      </c>
      <c r="D8">
        <v>7.9</v>
      </c>
      <c r="E8">
        <v>16.52</v>
      </c>
      <c r="F8">
        <v>0.1875</v>
      </c>
      <c r="G8">
        <v>180.5</v>
      </c>
      <c r="H8">
        <v>1966</v>
      </c>
      <c r="I8">
        <v>15.38</v>
      </c>
      <c r="J8" s="129" t="s">
        <v>786</v>
      </c>
    </row>
    <row r="9" spans="1:10" x14ac:dyDescent="0.25">
      <c r="A9" t="s">
        <v>495</v>
      </c>
      <c r="B9">
        <v>80</v>
      </c>
      <c r="C9" s="137" t="s">
        <v>752</v>
      </c>
      <c r="D9">
        <v>7.9</v>
      </c>
      <c r="E9">
        <v>17.12</v>
      </c>
      <c r="F9">
        <v>0.1875</v>
      </c>
      <c r="G9">
        <v>193.6</v>
      </c>
      <c r="H9">
        <v>2142</v>
      </c>
      <c r="I9">
        <v>15.92</v>
      </c>
      <c r="J9" s="129" t="s">
        <v>786</v>
      </c>
    </row>
    <row r="10" spans="1:10" x14ac:dyDescent="0.25">
      <c r="A10" t="s">
        <v>494</v>
      </c>
      <c r="B10">
        <v>85</v>
      </c>
      <c r="C10" s="137" t="s">
        <v>752</v>
      </c>
      <c r="D10">
        <v>7.9</v>
      </c>
      <c r="E10">
        <v>17.72</v>
      </c>
      <c r="F10">
        <v>0.1875</v>
      </c>
      <c r="G10">
        <v>206.7</v>
      </c>
      <c r="H10">
        <v>2325</v>
      </c>
      <c r="I10">
        <v>16.46</v>
      </c>
      <c r="J10" s="129" t="s">
        <v>786</v>
      </c>
    </row>
    <row r="11" spans="1:10" x14ac:dyDescent="0.25">
      <c r="A11" t="s">
        <v>493</v>
      </c>
      <c r="B11">
        <v>90</v>
      </c>
      <c r="C11" s="137" t="s">
        <v>752</v>
      </c>
      <c r="D11">
        <v>7.9</v>
      </c>
      <c r="E11">
        <v>18.32</v>
      </c>
      <c r="F11">
        <v>0.1875</v>
      </c>
      <c r="G11">
        <v>219.9</v>
      </c>
      <c r="H11">
        <v>2513</v>
      </c>
      <c r="I11">
        <v>17</v>
      </c>
      <c r="J11" s="129" t="s">
        <v>786</v>
      </c>
    </row>
    <row r="12" spans="1:10" x14ac:dyDescent="0.25">
      <c r="A12" t="s">
        <v>492</v>
      </c>
      <c r="B12">
        <v>40</v>
      </c>
      <c r="C12" s="137" t="s">
        <v>751</v>
      </c>
      <c r="D12">
        <v>5.65</v>
      </c>
      <c r="E12">
        <v>11.25</v>
      </c>
      <c r="F12">
        <v>0.1875</v>
      </c>
      <c r="G12">
        <v>74.2</v>
      </c>
      <c r="H12">
        <v>682</v>
      </c>
      <c r="I12">
        <v>10.41</v>
      </c>
      <c r="J12" s="129" t="s">
        <v>748</v>
      </c>
    </row>
    <row r="13" spans="1:10" x14ac:dyDescent="0.25">
      <c r="A13" t="s">
        <v>491</v>
      </c>
      <c r="B13">
        <v>45</v>
      </c>
      <c r="C13" s="137" t="s">
        <v>751</v>
      </c>
      <c r="D13">
        <v>5.65</v>
      </c>
      <c r="E13">
        <v>11.95</v>
      </c>
      <c r="F13">
        <v>0.1875</v>
      </c>
      <c r="G13">
        <v>84.6</v>
      </c>
      <c r="H13">
        <v>800</v>
      </c>
      <c r="I13">
        <v>11.04</v>
      </c>
      <c r="J13" s="129" t="s">
        <v>748</v>
      </c>
    </row>
    <row r="14" spans="1:10" x14ac:dyDescent="0.25">
      <c r="A14" t="s">
        <v>490</v>
      </c>
      <c r="B14">
        <v>50</v>
      </c>
      <c r="C14" s="137" t="s">
        <v>751</v>
      </c>
      <c r="D14">
        <v>5.65</v>
      </c>
      <c r="E14">
        <v>12.27</v>
      </c>
      <c r="F14">
        <v>0.1875</v>
      </c>
      <c r="G14">
        <v>95.1</v>
      </c>
      <c r="H14">
        <v>961</v>
      </c>
      <c r="I14">
        <v>11.29</v>
      </c>
      <c r="J14" s="129" t="s">
        <v>748</v>
      </c>
    </row>
    <row r="15" spans="1:10" x14ac:dyDescent="0.25">
      <c r="A15" t="s">
        <v>489</v>
      </c>
      <c r="B15">
        <v>55</v>
      </c>
      <c r="C15" s="137">
        <v>2</v>
      </c>
      <c r="D15">
        <v>5.65</v>
      </c>
      <c r="E15">
        <v>12.97</v>
      </c>
      <c r="F15">
        <v>0.1875</v>
      </c>
      <c r="G15">
        <v>105.7</v>
      </c>
      <c r="H15">
        <v>1090</v>
      </c>
      <c r="I15">
        <v>11.92</v>
      </c>
      <c r="J15" s="129" t="s">
        <v>748</v>
      </c>
    </row>
    <row r="16" spans="1:10" x14ac:dyDescent="0.25">
      <c r="A16" t="s">
        <v>488</v>
      </c>
      <c r="B16">
        <v>60</v>
      </c>
      <c r="C16" s="137">
        <v>2</v>
      </c>
      <c r="D16">
        <v>5.65</v>
      </c>
      <c r="E16">
        <v>13.67</v>
      </c>
      <c r="F16">
        <v>0.1875</v>
      </c>
      <c r="G16">
        <v>116.2</v>
      </c>
      <c r="H16">
        <v>1225</v>
      </c>
      <c r="I16">
        <v>12.55</v>
      </c>
      <c r="J16" s="129" t="s">
        <v>748</v>
      </c>
    </row>
    <row r="17" spans="1:10" x14ac:dyDescent="0.25">
      <c r="A17" t="s">
        <v>487</v>
      </c>
      <c r="B17">
        <v>40</v>
      </c>
      <c r="C17" s="137" t="s">
        <v>750</v>
      </c>
      <c r="D17">
        <v>4.75</v>
      </c>
      <c r="E17">
        <v>10.35</v>
      </c>
      <c r="F17">
        <v>0.1875</v>
      </c>
      <c r="G17">
        <v>60.1</v>
      </c>
      <c r="H17">
        <v>608</v>
      </c>
      <c r="I17">
        <v>9.51</v>
      </c>
      <c r="J17" s="129" t="s">
        <v>748</v>
      </c>
    </row>
    <row r="18" spans="1:10" x14ac:dyDescent="0.25">
      <c r="A18" t="s">
        <v>486</v>
      </c>
      <c r="B18">
        <v>45</v>
      </c>
      <c r="C18" s="137" t="s">
        <v>750</v>
      </c>
      <c r="D18">
        <v>4.75</v>
      </c>
      <c r="E18">
        <v>11.05</v>
      </c>
      <c r="F18">
        <v>0.1875</v>
      </c>
      <c r="G18">
        <v>68.599999999999994</v>
      </c>
      <c r="H18">
        <v>717</v>
      </c>
      <c r="I18">
        <v>10.14</v>
      </c>
      <c r="J18" s="129" t="s">
        <v>748</v>
      </c>
    </row>
    <row r="19" spans="1:10" x14ac:dyDescent="0.25">
      <c r="A19" t="s">
        <v>485</v>
      </c>
      <c r="B19">
        <v>50</v>
      </c>
      <c r="C19" s="137" t="s">
        <v>750</v>
      </c>
      <c r="D19">
        <v>4.75</v>
      </c>
      <c r="E19">
        <v>11.37</v>
      </c>
      <c r="F19">
        <v>0.1875</v>
      </c>
      <c r="G19">
        <v>77.099999999999994</v>
      </c>
      <c r="H19">
        <v>864</v>
      </c>
      <c r="I19">
        <v>10.39</v>
      </c>
      <c r="J19" s="129" t="s">
        <v>748</v>
      </c>
    </row>
    <row r="20" spans="1:10" x14ac:dyDescent="0.25">
      <c r="A20" t="s">
        <v>484</v>
      </c>
      <c r="B20">
        <v>55</v>
      </c>
      <c r="C20" s="137" t="s">
        <v>750</v>
      </c>
      <c r="D20">
        <v>4.75</v>
      </c>
      <c r="E20">
        <v>12.07</v>
      </c>
      <c r="F20">
        <v>0.1875</v>
      </c>
      <c r="G20">
        <v>85.7</v>
      </c>
      <c r="H20">
        <v>984</v>
      </c>
      <c r="I20">
        <v>11.02</v>
      </c>
      <c r="J20" s="129" t="s">
        <v>748</v>
      </c>
    </row>
    <row r="21" spans="1:10" x14ac:dyDescent="0.25">
      <c r="A21" t="s">
        <v>483</v>
      </c>
      <c r="B21">
        <v>60</v>
      </c>
      <c r="C21" s="137" t="s">
        <v>750</v>
      </c>
      <c r="D21">
        <v>4.75</v>
      </c>
      <c r="E21">
        <v>12.77</v>
      </c>
      <c r="F21">
        <v>0.1875</v>
      </c>
      <c r="G21">
        <v>94.2</v>
      </c>
      <c r="H21">
        <v>1110</v>
      </c>
      <c r="I21">
        <v>11.65</v>
      </c>
      <c r="J21" s="129" t="s">
        <v>748</v>
      </c>
    </row>
    <row r="22" spans="1:10" x14ac:dyDescent="0.25">
      <c r="A22" t="s">
        <v>482</v>
      </c>
      <c r="B22">
        <v>40</v>
      </c>
      <c r="C22" s="137" t="s">
        <v>749</v>
      </c>
      <c r="D22">
        <v>3.7</v>
      </c>
      <c r="E22">
        <v>9.3000000000000007</v>
      </c>
      <c r="F22">
        <v>0.1875</v>
      </c>
      <c r="G22">
        <v>48</v>
      </c>
      <c r="H22">
        <v>521</v>
      </c>
      <c r="I22">
        <v>8.4600000000000009</v>
      </c>
      <c r="J22" s="129" t="s">
        <v>748</v>
      </c>
    </row>
    <row r="23" spans="1:10" x14ac:dyDescent="0.25">
      <c r="A23" t="s">
        <v>481</v>
      </c>
      <c r="B23">
        <v>45</v>
      </c>
      <c r="C23" s="137" t="s">
        <v>749</v>
      </c>
      <c r="D23">
        <v>3.7</v>
      </c>
      <c r="E23">
        <v>10</v>
      </c>
      <c r="F23">
        <v>0.1875</v>
      </c>
      <c r="G23" s="129">
        <v>54.8</v>
      </c>
      <c r="H23">
        <v>619</v>
      </c>
      <c r="I23">
        <v>9.09</v>
      </c>
      <c r="J23" s="129" t="s">
        <v>748</v>
      </c>
    </row>
    <row r="24" spans="1:10" x14ac:dyDescent="0.25">
      <c r="A24" t="s">
        <v>480</v>
      </c>
      <c r="B24">
        <v>50</v>
      </c>
      <c r="C24" s="137" t="s">
        <v>749</v>
      </c>
      <c r="D24">
        <v>3.7</v>
      </c>
      <c r="E24">
        <v>10.32</v>
      </c>
      <c r="F24">
        <v>0.1875</v>
      </c>
      <c r="G24" s="129">
        <v>61.6</v>
      </c>
      <c r="H24">
        <v>752</v>
      </c>
      <c r="I24">
        <v>9.34</v>
      </c>
      <c r="J24" s="129" t="s">
        <v>748</v>
      </c>
    </row>
    <row r="25" spans="1:10" x14ac:dyDescent="0.25">
      <c r="A25" t="s">
        <v>479</v>
      </c>
      <c r="B25">
        <v>55</v>
      </c>
      <c r="C25" s="137" t="s">
        <v>749</v>
      </c>
      <c r="D25">
        <v>3.7</v>
      </c>
      <c r="E25">
        <v>11.02</v>
      </c>
      <c r="F25">
        <v>0.1875</v>
      </c>
      <c r="G25" s="129">
        <v>68.5</v>
      </c>
      <c r="H25">
        <v>860</v>
      </c>
      <c r="I25">
        <v>9.9700000000000006</v>
      </c>
      <c r="J25" s="129" t="s">
        <v>748</v>
      </c>
    </row>
    <row r="26" spans="1:10" x14ac:dyDescent="0.25">
      <c r="A26" t="s">
        <v>564</v>
      </c>
      <c r="B26">
        <v>60</v>
      </c>
      <c r="C26" s="137" t="s">
        <v>749</v>
      </c>
      <c r="D26">
        <v>3.7</v>
      </c>
      <c r="E26">
        <v>11.72</v>
      </c>
      <c r="F26">
        <v>0.1875</v>
      </c>
      <c r="G26" s="129">
        <v>75.3</v>
      </c>
      <c r="H26">
        <v>975</v>
      </c>
      <c r="I26">
        <v>10.6</v>
      </c>
      <c r="J26" s="129" t="s">
        <v>748</v>
      </c>
    </row>
    <row r="27" spans="1:10" x14ac:dyDescent="0.25">
      <c r="A27" t="s">
        <v>510</v>
      </c>
      <c r="B27">
        <v>50</v>
      </c>
      <c r="C27" s="137" t="s">
        <v>297</v>
      </c>
      <c r="D27">
        <v>8.3000000000000007</v>
      </c>
      <c r="E27">
        <v>14.67</v>
      </c>
      <c r="F27">
        <v>0.1875</v>
      </c>
      <c r="G27">
        <v>138.9</v>
      </c>
      <c r="H27">
        <v>1261</v>
      </c>
      <c r="I27">
        <v>13.73</v>
      </c>
      <c r="J27" s="129" t="s">
        <v>786</v>
      </c>
    </row>
    <row r="28" spans="1:10" x14ac:dyDescent="0.25">
      <c r="A28" t="s">
        <v>509</v>
      </c>
      <c r="B28">
        <v>55</v>
      </c>
      <c r="C28" s="137" t="s">
        <v>297</v>
      </c>
      <c r="D28">
        <v>8.3000000000000007</v>
      </c>
      <c r="E28">
        <v>15.35</v>
      </c>
      <c r="F28">
        <v>0.1875</v>
      </c>
      <c r="G28">
        <v>154.19999999999999</v>
      </c>
      <c r="H28">
        <v>1417</v>
      </c>
      <c r="I28">
        <v>14.34</v>
      </c>
      <c r="J28" s="129" t="s">
        <v>786</v>
      </c>
    </row>
    <row r="29" spans="1:10" x14ac:dyDescent="0.25">
      <c r="A29" t="s">
        <v>508</v>
      </c>
      <c r="B29">
        <v>60</v>
      </c>
      <c r="C29" s="137" t="s">
        <v>297</v>
      </c>
      <c r="D29">
        <v>8.3000000000000007</v>
      </c>
      <c r="E29">
        <v>16.02</v>
      </c>
      <c r="F29">
        <v>0.1875</v>
      </c>
      <c r="G29">
        <v>169.6</v>
      </c>
      <c r="H29">
        <v>1581</v>
      </c>
      <c r="I29">
        <v>14.94</v>
      </c>
      <c r="J29" s="129" t="s">
        <v>786</v>
      </c>
    </row>
    <row r="30" spans="1:10" x14ac:dyDescent="0.25">
      <c r="A30" t="s">
        <v>507</v>
      </c>
      <c r="B30">
        <v>65</v>
      </c>
      <c r="C30" s="137" t="s">
        <v>297</v>
      </c>
      <c r="D30">
        <v>8.3000000000000007</v>
      </c>
      <c r="E30">
        <v>16.7</v>
      </c>
      <c r="F30">
        <v>0.1875</v>
      </c>
      <c r="G30">
        <v>185.1</v>
      </c>
      <c r="H30">
        <v>1760</v>
      </c>
      <c r="I30">
        <v>15.55</v>
      </c>
      <c r="J30" s="129" t="s">
        <v>786</v>
      </c>
    </row>
    <row r="31" spans="1:10" x14ac:dyDescent="0.25">
      <c r="A31" t="s">
        <v>506</v>
      </c>
      <c r="B31">
        <v>70</v>
      </c>
      <c r="C31" s="137" t="s">
        <v>297</v>
      </c>
      <c r="D31">
        <v>8.3000000000000007</v>
      </c>
      <c r="E31">
        <v>17.37</v>
      </c>
      <c r="F31">
        <v>0.1875</v>
      </c>
      <c r="G31">
        <v>200.5</v>
      </c>
      <c r="H31">
        <v>1938</v>
      </c>
      <c r="I31">
        <v>16.16</v>
      </c>
      <c r="J31" s="129" t="s">
        <v>786</v>
      </c>
    </row>
    <row r="32" spans="1:10" x14ac:dyDescent="0.25">
      <c r="A32" t="s">
        <v>505</v>
      </c>
      <c r="B32">
        <v>75</v>
      </c>
      <c r="C32" s="137" t="s">
        <v>297</v>
      </c>
      <c r="D32">
        <v>8.3000000000000007</v>
      </c>
      <c r="E32">
        <v>18.05</v>
      </c>
      <c r="F32">
        <v>0.1875</v>
      </c>
      <c r="G32">
        <v>216.1</v>
      </c>
      <c r="H32">
        <v>2124</v>
      </c>
      <c r="I32">
        <v>16.77</v>
      </c>
      <c r="J32" s="129" t="s">
        <v>786</v>
      </c>
    </row>
    <row r="33" spans="1:10" x14ac:dyDescent="0.25">
      <c r="A33" t="s">
        <v>504</v>
      </c>
      <c r="B33">
        <v>80</v>
      </c>
      <c r="C33" s="137" t="s">
        <v>297</v>
      </c>
      <c r="D33">
        <v>8.3000000000000007</v>
      </c>
      <c r="E33">
        <v>18.72</v>
      </c>
      <c r="F33">
        <v>0.1875</v>
      </c>
      <c r="G33">
        <v>231.6</v>
      </c>
      <c r="H33">
        <v>2315</v>
      </c>
      <c r="I33">
        <v>17.37</v>
      </c>
      <c r="J33" s="129" t="s">
        <v>786</v>
      </c>
    </row>
    <row r="34" spans="1:10" x14ac:dyDescent="0.25">
      <c r="A34" t="s">
        <v>503</v>
      </c>
      <c r="B34">
        <v>85</v>
      </c>
      <c r="C34" s="137" t="s">
        <v>297</v>
      </c>
      <c r="D34">
        <v>8.3000000000000007</v>
      </c>
      <c r="E34">
        <v>19.399999999999999</v>
      </c>
      <c r="F34">
        <v>0.1875</v>
      </c>
      <c r="G34">
        <v>247.3</v>
      </c>
      <c r="H34">
        <v>2515</v>
      </c>
      <c r="I34">
        <v>17.98</v>
      </c>
      <c r="J34" s="129" t="s">
        <v>786</v>
      </c>
    </row>
    <row r="35" spans="1:10" x14ac:dyDescent="0.25">
      <c r="A35" t="s">
        <v>502</v>
      </c>
      <c r="B35">
        <v>90</v>
      </c>
      <c r="C35" s="137" t="s">
        <v>297</v>
      </c>
      <c r="D35">
        <v>8.3000000000000007</v>
      </c>
      <c r="E35">
        <v>20.07</v>
      </c>
      <c r="F35">
        <v>0.1875</v>
      </c>
      <c r="G35">
        <v>263</v>
      </c>
      <c r="H35">
        <v>2722</v>
      </c>
      <c r="I35">
        <v>18.59</v>
      </c>
      <c r="J35" s="129" t="s">
        <v>786</v>
      </c>
    </row>
    <row r="36" spans="1:10" x14ac:dyDescent="0.25">
      <c r="A36" t="s">
        <v>519</v>
      </c>
      <c r="B36">
        <v>60</v>
      </c>
      <c r="C36" s="137" t="s">
        <v>296</v>
      </c>
      <c r="D36">
        <v>8.6</v>
      </c>
      <c r="E36">
        <v>17.52</v>
      </c>
      <c r="F36">
        <v>0.1875</v>
      </c>
      <c r="G36">
        <v>200.8</v>
      </c>
      <c r="H36">
        <v>1709</v>
      </c>
      <c r="I36">
        <v>16.28</v>
      </c>
      <c r="J36" s="129" t="s">
        <v>786</v>
      </c>
    </row>
    <row r="37" spans="1:10" x14ac:dyDescent="0.25">
      <c r="A37" t="s">
        <v>518</v>
      </c>
      <c r="B37">
        <v>65</v>
      </c>
      <c r="C37" s="137" t="s">
        <v>296</v>
      </c>
      <c r="D37">
        <v>8.6</v>
      </c>
      <c r="E37">
        <v>18.3</v>
      </c>
      <c r="F37">
        <v>0.1875</v>
      </c>
      <c r="G37">
        <v>219</v>
      </c>
      <c r="H37">
        <v>1896</v>
      </c>
      <c r="I37">
        <v>16.98</v>
      </c>
      <c r="J37" s="129" t="s">
        <v>786</v>
      </c>
    </row>
    <row r="38" spans="1:10" x14ac:dyDescent="0.25">
      <c r="A38" t="s">
        <v>517</v>
      </c>
      <c r="B38">
        <v>70</v>
      </c>
      <c r="C38" s="137" t="s">
        <v>296</v>
      </c>
      <c r="D38">
        <v>8.6</v>
      </c>
      <c r="E38">
        <v>19.07</v>
      </c>
      <c r="F38">
        <v>0.1875</v>
      </c>
      <c r="G38">
        <v>237.3</v>
      </c>
      <c r="H38">
        <v>2091</v>
      </c>
      <c r="I38">
        <v>17.68</v>
      </c>
      <c r="J38" s="129" t="s">
        <v>786</v>
      </c>
    </row>
    <row r="39" spans="1:10" x14ac:dyDescent="0.25">
      <c r="A39" t="s">
        <v>516</v>
      </c>
      <c r="B39">
        <v>75</v>
      </c>
      <c r="C39" s="137" t="s">
        <v>296</v>
      </c>
      <c r="D39">
        <v>8.6</v>
      </c>
      <c r="E39">
        <v>19.850000000000001</v>
      </c>
      <c r="F39">
        <v>0.1875</v>
      </c>
      <c r="G39">
        <v>255.6</v>
      </c>
      <c r="H39">
        <v>2295</v>
      </c>
      <c r="I39">
        <v>18.38</v>
      </c>
      <c r="J39" s="129" t="s">
        <v>786</v>
      </c>
    </row>
    <row r="40" spans="1:10" x14ac:dyDescent="0.25">
      <c r="A40" t="s">
        <v>515</v>
      </c>
      <c r="B40">
        <v>80</v>
      </c>
      <c r="C40" s="137" t="s">
        <v>296</v>
      </c>
      <c r="D40">
        <v>8.6</v>
      </c>
      <c r="E40">
        <v>20.62</v>
      </c>
      <c r="F40">
        <v>0.1875</v>
      </c>
      <c r="G40">
        <v>274</v>
      </c>
      <c r="H40">
        <v>2507</v>
      </c>
      <c r="I40">
        <v>19.07</v>
      </c>
      <c r="J40" s="129" t="s">
        <v>786</v>
      </c>
    </row>
    <row r="41" spans="1:10" x14ac:dyDescent="0.25">
      <c r="A41" t="s">
        <v>514</v>
      </c>
      <c r="B41">
        <v>85</v>
      </c>
      <c r="C41" s="137" t="s">
        <v>296</v>
      </c>
      <c r="D41">
        <v>8.6</v>
      </c>
      <c r="E41">
        <v>21.4</v>
      </c>
      <c r="F41">
        <v>0.1875</v>
      </c>
      <c r="G41">
        <v>292.39999999999998</v>
      </c>
      <c r="H41">
        <v>2726</v>
      </c>
      <c r="I41">
        <v>19.77</v>
      </c>
      <c r="J41" s="129" t="s">
        <v>786</v>
      </c>
    </row>
    <row r="42" spans="1:10" x14ac:dyDescent="0.25">
      <c r="A42" t="s">
        <v>513</v>
      </c>
      <c r="B42">
        <v>90</v>
      </c>
      <c r="C42" s="137" t="s">
        <v>296</v>
      </c>
      <c r="D42">
        <v>8.6</v>
      </c>
      <c r="E42">
        <v>22.17</v>
      </c>
      <c r="F42">
        <v>0.1875</v>
      </c>
      <c r="G42">
        <v>310.89999999999998</v>
      </c>
      <c r="H42">
        <v>2955</v>
      </c>
      <c r="I42">
        <v>20.47</v>
      </c>
      <c r="J42" s="129" t="s">
        <v>786</v>
      </c>
    </row>
    <row r="43" spans="1:10" x14ac:dyDescent="0.25">
      <c r="A43" t="s">
        <v>512</v>
      </c>
      <c r="B43">
        <v>95</v>
      </c>
      <c r="C43" s="137" t="s">
        <v>296</v>
      </c>
      <c r="D43">
        <v>8.6</v>
      </c>
      <c r="E43">
        <v>22.57</v>
      </c>
      <c r="F43">
        <v>0.1875</v>
      </c>
      <c r="G43">
        <v>329.4</v>
      </c>
      <c r="H43">
        <v>3288</v>
      </c>
      <c r="I43">
        <v>20.79</v>
      </c>
      <c r="J43" s="129" t="s">
        <v>786</v>
      </c>
    </row>
    <row r="44" spans="1:10" x14ac:dyDescent="0.25">
      <c r="A44" t="s">
        <v>511</v>
      </c>
      <c r="B44">
        <v>100</v>
      </c>
      <c r="C44" s="137" t="s">
        <v>296</v>
      </c>
      <c r="D44">
        <v>8.6</v>
      </c>
      <c r="E44">
        <v>23.35</v>
      </c>
      <c r="F44">
        <v>0.1875</v>
      </c>
      <c r="G44">
        <v>348</v>
      </c>
      <c r="H44">
        <v>3529</v>
      </c>
      <c r="I44">
        <v>21.49</v>
      </c>
      <c r="J44" s="129" t="s">
        <v>786</v>
      </c>
    </row>
    <row r="45" spans="1:10" x14ac:dyDescent="0.25">
      <c r="A45" t="s">
        <v>530</v>
      </c>
      <c r="B45">
        <v>60</v>
      </c>
      <c r="C45" s="137" t="s">
        <v>356</v>
      </c>
      <c r="D45">
        <v>9.1</v>
      </c>
      <c r="E45">
        <v>18.920000000000002</v>
      </c>
      <c r="F45">
        <v>0.1875</v>
      </c>
      <c r="G45">
        <v>235.2</v>
      </c>
      <c r="H45">
        <v>1843</v>
      </c>
      <c r="I45">
        <v>17.559999999999999</v>
      </c>
      <c r="J45" s="129" t="s">
        <v>786</v>
      </c>
    </row>
    <row r="46" spans="1:10" x14ac:dyDescent="0.25">
      <c r="A46" t="s">
        <v>529</v>
      </c>
      <c r="B46">
        <v>65</v>
      </c>
      <c r="C46" s="137" t="s">
        <v>356</v>
      </c>
      <c r="D46">
        <v>9.1</v>
      </c>
      <c r="E46">
        <v>19.77</v>
      </c>
      <c r="F46">
        <v>0.1875</v>
      </c>
      <c r="G46">
        <v>256.5</v>
      </c>
      <c r="H46">
        <v>2045</v>
      </c>
      <c r="I46">
        <v>18.329999999999998</v>
      </c>
      <c r="J46" s="129" t="s">
        <v>786</v>
      </c>
    </row>
    <row r="47" spans="1:10" x14ac:dyDescent="0.25">
      <c r="A47" t="s">
        <v>528</v>
      </c>
      <c r="B47">
        <v>70</v>
      </c>
      <c r="C47" s="137" t="s">
        <v>356</v>
      </c>
      <c r="D47">
        <v>9.1</v>
      </c>
      <c r="E47">
        <v>20.62</v>
      </c>
      <c r="F47">
        <v>0.1875</v>
      </c>
      <c r="G47">
        <v>277.8</v>
      </c>
      <c r="H47">
        <v>2256</v>
      </c>
      <c r="I47">
        <v>19.09</v>
      </c>
      <c r="J47" s="129" t="s">
        <v>786</v>
      </c>
    </row>
    <row r="48" spans="1:10" x14ac:dyDescent="0.25">
      <c r="A48" t="s">
        <v>527</v>
      </c>
      <c r="B48">
        <v>75</v>
      </c>
      <c r="C48" s="137" t="s">
        <v>356</v>
      </c>
      <c r="D48">
        <v>9.1</v>
      </c>
      <c r="E48">
        <v>21.47</v>
      </c>
      <c r="F48">
        <v>0.1875</v>
      </c>
      <c r="G48">
        <v>299.2</v>
      </c>
      <c r="H48">
        <v>2476</v>
      </c>
      <c r="I48">
        <v>19.86</v>
      </c>
      <c r="J48" s="129" t="s">
        <v>786</v>
      </c>
    </row>
    <row r="49" spans="1:10" x14ac:dyDescent="0.25">
      <c r="A49" t="s">
        <v>526</v>
      </c>
      <c r="B49">
        <v>80</v>
      </c>
      <c r="C49" s="137" t="s">
        <v>356</v>
      </c>
      <c r="D49">
        <v>9.1</v>
      </c>
      <c r="E49">
        <v>22.32</v>
      </c>
      <c r="F49">
        <v>0.1875</v>
      </c>
      <c r="G49">
        <v>320.7</v>
      </c>
      <c r="H49">
        <v>2706</v>
      </c>
      <c r="I49">
        <v>20.62</v>
      </c>
      <c r="J49" s="129" t="s">
        <v>786</v>
      </c>
    </row>
    <row r="50" spans="1:10" x14ac:dyDescent="0.25">
      <c r="A50" t="s">
        <v>525</v>
      </c>
      <c r="B50">
        <v>85</v>
      </c>
      <c r="C50" s="137" t="s">
        <v>356</v>
      </c>
      <c r="D50">
        <v>9.1</v>
      </c>
      <c r="E50">
        <v>23.17</v>
      </c>
      <c r="F50">
        <v>0.1875</v>
      </c>
      <c r="G50">
        <v>342.2</v>
      </c>
      <c r="H50">
        <v>2945</v>
      </c>
      <c r="I50">
        <v>21.39</v>
      </c>
      <c r="J50" s="129" t="s">
        <v>786</v>
      </c>
    </row>
    <row r="51" spans="1:10" x14ac:dyDescent="0.25">
      <c r="A51" t="s">
        <v>524</v>
      </c>
      <c r="B51">
        <v>90</v>
      </c>
      <c r="C51" s="137" t="s">
        <v>356</v>
      </c>
      <c r="D51">
        <v>9.1</v>
      </c>
      <c r="E51">
        <v>24.02</v>
      </c>
      <c r="F51">
        <v>0.1875</v>
      </c>
      <c r="G51">
        <v>363.7</v>
      </c>
      <c r="H51">
        <v>3192</v>
      </c>
      <c r="I51">
        <v>22.15</v>
      </c>
      <c r="J51" s="129" t="s">
        <v>786</v>
      </c>
    </row>
    <row r="52" spans="1:10" x14ac:dyDescent="0.25">
      <c r="A52" t="s">
        <v>523</v>
      </c>
      <c r="B52">
        <v>95</v>
      </c>
      <c r="C52" s="137" t="s">
        <v>356</v>
      </c>
      <c r="D52">
        <v>9.1</v>
      </c>
      <c r="E52">
        <v>24.5</v>
      </c>
      <c r="F52">
        <v>0.1875</v>
      </c>
      <c r="G52">
        <v>385.4</v>
      </c>
      <c r="H52">
        <v>3554</v>
      </c>
      <c r="I52">
        <v>22.54</v>
      </c>
      <c r="J52" s="129" t="s">
        <v>786</v>
      </c>
    </row>
    <row r="53" spans="1:10" x14ac:dyDescent="0.25">
      <c r="A53" t="s">
        <v>522</v>
      </c>
      <c r="B53">
        <v>100</v>
      </c>
      <c r="C53" s="137" t="s">
        <v>356</v>
      </c>
      <c r="D53">
        <v>9.1</v>
      </c>
      <c r="E53">
        <v>25.35</v>
      </c>
      <c r="F53">
        <v>0.1875</v>
      </c>
      <c r="G53">
        <v>407.1</v>
      </c>
      <c r="H53">
        <v>3815</v>
      </c>
      <c r="I53">
        <v>23.31</v>
      </c>
      <c r="J53" s="129" t="s">
        <v>786</v>
      </c>
    </row>
    <row r="54" spans="1:10" x14ac:dyDescent="0.25">
      <c r="A54" t="s">
        <v>521</v>
      </c>
      <c r="B54">
        <v>105</v>
      </c>
      <c r="C54" s="137" t="s">
        <v>356</v>
      </c>
      <c r="D54">
        <v>9.1</v>
      </c>
      <c r="E54">
        <v>26.2</v>
      </c>
      <c r="F54">
        <v>0.1875</v>
      </c>
      <c r="G54">
        <v>428.8</v>
      </c>
      <c r="H54">
        <v>4085</v>
      </c>
      <c r="I54">
        <v>24.07</v>
      </c>
      <c r="J54" s="129" t="s">
        <v>786</v>
      </c>
    </row>
    <row r="55" spans="1:10" x14ac:dyDescent="0.25">
      <c r="A55" t="s">
        <v>520</v>
      </c>
      <c r="B55">
        <v>110</v>
      </c>
      <c r="C55" s="137" t="s">
        <v>356</v>
      </c>
      <c r="D55">
        <v>9.1</v>
      </c>
      <c r="E55">
        <v>27.05</v>
      </c>
      <c r="F55">
        <v>0.1875</v>
      </c>
      <c r="G55">
        <v>450.6</v>
      </c>
      <c r="H55">
        <v>4364</v>
      </c>
      <c r="I55">
        <v>24.84</v>
      </c>
      <c r="J55" s="129" t="s">
        <v>786</v>
      </c>
    </row>
    <row r="56" spans="1:10" x14ac:dyDescent="0.25">
      <c r="A56" t="s">
        <v>541</v>
      </c>
      <c r="B56">
        <v>60</v>
      </c>
      <c r="C56" s="137" t="s">
        <v>355</v>
      </c>
      <c r="D56">
        <v>9.6999999999999993</v>
      </c>
      <c r="E56">
        <v>20.72</v>
      </c>
      <c r="F56">
        <v>0.1875</v>
      </c>
      <c r="G56">
        <v>272.7</v>
      </c>
      <c r="H56">
        <v>2011</v>
      </c>
      <c r="I56">
        <v>19.2</v>
      </c>
      <c r="J56" s="129" t="s">
        <v>786</v>
      </c>
    </row>
    <row r="57" spans="1:10" x14ac:dyDescent="0.25">
      <c r="A57" t="s">
        <v>540</v>
      </c>
      <c r="B57">
        <v>65</v>
      </c>
      <c r="C57" s="137" t="s">
        <v>355</v>
      </c>
      <c r="D57">
        <v>9.6999999999999993</v>
      </c>
      <c r="E57">
        <v>21.67</v>
      </c>
      <c r="F57">
        <v>0.1875</v>
      </c>
      <c r="G57">
        <v>297.3</v>
      </c>
      <c r="H57">
        <v>2232</v>
      </c>
      <c r="I57">
        <v>20.059999999999999</v>
      </c>
      <c r="J57" s="129" t="s">
        <v>786</v>
      </c>
    </row>
    <row r="58" spans="1:10" x14ac:dyDescent="0.25">
      <c r="A58" t="s">
        <v>539</v>
      </c>
      <c r="B58">
        <v>70</v>
      </c>
      <c r="C58" s="137" t="s">
        <v>355</v>
      </c>
      <c r="D58">
        <v>9.6999999999999993</v>
      </c>
      <c r="E58">
        <v>22.62</v>
      </c>
      <c r="F58">
        <v>0.1875</v>
      </c>
      <c r="G58">
        <v>322.10000000000002</v>
      </c>
      <c r="H58">
        <v>2465</v>
      </c>
      <c r="I58">
        <v>20.91</v>
      </c>
      <c r="J58" s="129" t="s">
        <v>786</v>
      </c>
    </row>
    <row r="59" spans="1:10" x14ac:dyDescent="0.25">
      <c r="A59" t="s">
        <v>538</v>
      </c>
      <c r="B59">
        <v>75</v>
      </c>
      <c r="C59" s="137" t="s">
        <v>355</v>
      </c>
      <c r="D59">
        <v>9.6999999999999993</v>
      </c>
      <c r="E59">
        <v>23.57</v>
      </c>
      <c r="F59">
        <v>0.1875</v>
      </c>
      <c r="G59">
        <v>346.9</v>
      </c>
      <c r="H59">
        <v>2707</v>
      </c>
      <c r="I59">
        <v>21.77</v>
      </c>
      <c r="J59" s="129" t="s">
        <v>786</v>
      </c>
    </row>
    <row r="60" spans="1:10" x14ac:dyDescent="0.25">
      <c r="A60" t="s">
        <v>537</v>
      </c>
      <c r="B60">
        <v>80</v>
      </c>
      <c r="C60" s="137" t="s">
        <v>355</v>
      </c>
      <c r="D60">
        <v>9.6999999999999993</v>
      </c>
      <c r="E60">
        <v>24.52</v>
      </c>
      <c r="F60">
        <v>0.1875</v>
      </c>
      <c r="G60">
        <v>371.7</v>
      </c>
      <c r="H60">
        <v>2959</v>
      </c>
      <c r="I60">
        <v>22.62</v>
      </c>
      <c r="J60" s="129" t="s">
        <v>786</v>
      </c>
    </row>
    <row r="61" spans="1:10" x14ac:dyDescent="0.25">
      <c r="A61" t="s">
        <v>536</v>
      </c>
      <c r="B61">
        <v>85</v>
      </c>
      <c r="C61" s="137" t="s">
        <v>355</v>
      </c>
      <c r="D61">
        <v>9.6999999999999993</v>
      </c>
      <c r="E61">
        <v>25.47</v>
      </c>
      <c r="F61">
        <v>0.1875</v>
      </c>
      <c r="G61">
        <v>396.5</v>
      </c>
      <c r="H61">
        <v>3221</v>
      </c>
      <c r="I61">
        <v>23.48</v>
      </c>
      <c r="J61" s="129" t="s">
        <v>786</v>
      </c>
    </row>
    <row r="62" spans="1:10" x14ac:dyDescent="0.25">
      <c r="A62" t="s">
        <v>535</v>
      </c>
      <c r="B62">
        <v>90</v>
      </c>
      <c r="C62" s="137" t="s">
        <v>355</v>
      </c>
      <c r="D62">
        <v>9.6999999999999993</v>
      </c>
      <c r="E62">
        <v>26.42</v>
      </c>
      <c r="F62">
        <v>0.1875</v>
      </c>
      <c r="G62">
        <v>421.5</v>
      </c>
      <c r="H62">
        <v>3493</v>
      </c>
      <c r="I62">
        <v>24.33</v>
      </c>
      <c r="J62" s="129" t="s">
        <v>786</v>
      </c>
    </row>
    <row r="63" spans="1:10" x14ac:dyDescent="0.25">
      <c r="A63" t="s">
        <v>534</v>
      </c>
      <c r="B63">
        <v>95</v>
      </c>
      <c r="C63" s="137" t="s">
        <v>355</v>
      </c>
      <c r="D63">
        <v>9.6999999999999993</v>
      </c>
      <c r="E63">
        <v>27</v>
      </c>
      <c r="F63">
        <v>0.1875</v>
      </c>
      <c r="G63">
        <v>446.5</v>
      </c>
      <c r="H63">
        <v>3904</v>
      </c>
      <c r="I63">
        <v>24.81</v>
      </c>
      <c r="J63" s="129" t="s">
        <v>786</v>
      </c>
    </row>
    <row r="64" spans="1:10" x14ac:dyDescent="0.25">
      <c r="A64" t="s">
        <v>533</v>
      </c>
      <c r="B64">
        <v>100</v>
      </c>
      <c r="C64" s="137" t="s">
        <v>355</v>
      </c>
      <c r="D64">
        <v>9.6999999999999993</v>
      </c>
      <c r="E64">
        <v>27.95</v>
      </c>
      <c r="F64">
        <v>0.1875</v>
      </c>
      <c r="G64">
        <v>471.5</v>
      </c>
      <c r="H64">
        <v>4192</v>
      </c>
      <c r="I64">
        <v>25.67</v>
      </c>
      <c r="J64" s="129" t="s">
        <v>786</v>
      </c>
    </row>
    <row r="65" spans="1:11" x14ac:dyDescent="0.25">
      <c r="A65" t="s">
        <v>532</v>
      </c>
      <c r="B65">
        <v>105</v>
      </c>
      <c r="C65" s="137" t="s">
        <v>355</v>
      </c>
      <c r="D65">
        <v>9.6999999999999993</v>
      </c>
      <c r="E65">
        <v>28.9</v>
      </c>
      <c r="F65">
        <v>0.1875</v>
      </c>
      <c r="G65">
        <v>496.6</v>
      </c>
      <c r="H65">
        <v>4491</v>
      </c>
      <c r="I65">
        <v>26.52</v>
      </c>
      <c r="J65" s="129" t="s">
        <v>786</v>
      </c>
    </row>
    <row r="66" spans="1:11" x14ac:dyDescent="0.25">
      <c r="A66" t="s">
        <v>531</v>
      </c>
      <c r="B66">
        <v>110</v>
      </c>
      <c r="C66" s="137" t="s">
        <v>355</v>
      </c>
      <c r="D66">
        <v>9.6999999999999993</v>
      </c>
      <c r="E66">
        <v>29.85</v>
      </c>
      <c r="F66">
        <v>0.1875</v>
      </c>
      <c r="G66">
        <v>521.79999999999995</v>
      </c>
      <c r="H66">
        <v>4799</v>
      </c>
      <c r="I66">
        <v>27.38</v>
      </c>
      <c r="J66" s="129" t="s">
        <v>786</v>
      </c>
    </row>
    <row r="67" spans="1:11" x14ac:dyDescent="0.25">
      <c r="A67" t="s">
        <v>551</v>
      </c>
      <c r="B67">
        <v>60</v>
      </c>
      <c r="C67" s="137" t="s">
        <v>354</v>
      </c>
      <c r="D67">
        <v>10</v>
      </c>
      <c r="E67">
        <v>22.34</v>
      </c>
      <c r="G67">
        <v>313.2</v>
      </c>
      <c r="H67">
        <v>2139</v>
      </c>
      <c r="I67">
        <v>20.65</v>
      </c>
      <c r="J67" s="129" t="s">
        <v>786</v>
      </c>
    </row>
    <row r="68" spans="1:11" x14ac:dyDescent="0.25">
      <c r="A68" t="s">
        <v>550</v>
      </c>
      <c r="B68">
        <v>65</v>
      </c>
      <c r="C68" s="137" t="s">
        <v>354</v>
      </c>
      <c r="D68">
        <v>10</v>
      </c>
      <c r="E68">
        <v>23.4</v>
      </c>
      <c r="G68">
        <v>341.5</v>
      </c>
      <c r="H68">
        <v>2378</v>
      </c>
      <c r="I68">
        <v>21.6</v>
      </c>
      <c r="J68" s="129" t="s">
        <v>786</v>
      </c>
    </row>
    <row r="69" spans="1:11" x14ac:dyDescent="0.25">
      <c r="A69" t="s">
        <v>549</v>
      </c>
      <c r="B69">
        <v>70</v>
      </c>
      <c r="C69" s="137" t="s">
        <v>354</v>
      </c>
      <c r="D69">
        <v>10</v>
      </c>
      <c r="E69">
        <v>24.46</v>
      </c>
      <c r="G69">
        <v>369.9</v>
      </c>
      <c r="H69">
        <v>2630</v>
      </c>
      <c r="I69">
        <v>22.56</v>
      </c>
      <c r="J69" s="129" t="s">
        <v>786</v>
      </c>
    </row>
    <row r="70" spans="1:11" x14ac:dyDescent="0.25">
      <c r="A70" t="s">
        <v>548</v>
      </c>
      <c r="B70">
        <v>75</v>
      </c>
      <c r="C70" s="137" t="s">
        <v>354</v>
      </c>
      <c r="D70">
        <v>10</v>
      </c>
      <c r="E70">
        <v>25.52</v>
      </c>
      <c r="G70">
        <v>398.3</v>
      </c>
      <c r="H70">
        <v>2891</v>
      </c>
      <c r="I70">
        <v>23.51</v>
      </c>
      <c r="J70" s="129" t="s">
        <v>786</v>
      </c>
    </row>
    <row r="71" spans="1:11" x14ac:dyDescent="0.25">
      <c r="A71" t="s">
        <v>547</v>
      </c>
      <c r="B71">
        <v>85</v>
      </c>
      <c r="C71" s="137" t="s">
        <v>354</v>
      </c>
      <c r="D71">
        <v>10</v>
      </c>
      <c r="E71">
        <v>27.64</v>
      </c>
      <c r="G71">
        <v>455.3</v>
      </c>
      <c r="H71">
        <v>3449</v>
      </c>
      <c r="I71">
        <v>25.42</v>
      </c>
      <c r="J71" s="129" t="s">
        <v>786</v>
      </c>
      <c r="K71" s="129" t="s">
        <v>563</v>
      </c>
    </row>
    <row r="72" spans="1:11" x14ac:dyDescent="0.25">
      <c r="A72" t="s">
        <v>546</v>
      </c>
      <c r="B72">
        <v>90</v>
      </c>
      <c r="C72" s="137" t="s">
        <v>354</v>
      </c>
      <c r="D72">
        <v>10</v>
      </c>
      <c r="E72">
        <v>28.7</v>
      </c>
      <c r="G72">
        <v>483.8</v>
      </c>
      <c r="H72">
        <v>3745</v>
      </c>
      <c r="I72">
        <v>26.37</v>
      </c>
      <c r="J72" s="129" t="s">
        <v>786</v>
      </c>
    </row>
    <row r="73" spans="1:11" x14ac:dyDescent="0.25">
      <c r="A73" t="s">
        <v>545</v>
      </c>
      <c r="B73">
        <v>95</v>
      </c>
      <c r="C73" s="137" t="s">
        <v>354</v>
      </c>
      <c r="D73">
        <v>10</v>
      </c>
      <c r="E73">
        <v>29.39</v>
      </c>
      <c r="G73">
        <v>512.4</v>
      </c>
      <c r="H73">
        <v>4229</v>
      </c>
      <c r="I73">
        <v>26.95</v>
      </c>
      <c r="J73" s="129" t="s">
        <v>786</v>
      </c>
    </row>
    <row r="74" spans="1:11" x14ac:dyDescent="0.25">
      <c r="A74" t="s">
        <v>544</v>
      </c>
      <c r="B74">
        <v>100</v>
      </c>
      <c r="C74" s="137" t="s">
        <v>354</v>
      </c>
      <c r="D74">
        <v>10</v>
      </c>
      <c r="E74">
        <v>30.45</v>
      </c>
      <c r="G74">
        <v>541.1</v>
      </c>
      <c r="H74">
        <v>4543</v>
      </c>
      <c r="I74">
        <v>27.91</v>
      </c>
      <c r="J74" s="129" t="s">
        <v>786</v>
      </c>
    </row>
    <row r="75" spans="1:11" x14ac:dyDescent="0.25">
      <c r="A75" t="s">
        <v>543</v>
      </c>
      <c r="B75">
        <v>105</v>
      </c>
      <c r="C75" s="137" t="s">
        <v>354</v>
      </c>
      <c r="D75">
        <v>10</v>
      </c>
      <c r="E75">
        <v>31.51</v>
      </c>
      <c r="G75">
        <v>569.79999999999995</v>
      </c>
      <c r="H75">
        <v>4869</v>
      </c>
      <c r="I75">
        <v>28.86</v>
      </c>
      <c r="J75" s="129" t="s">
        <v>786</v>
      </c>
    </row>
    <row r="76" spans="1:11" x14ac:dyDescent="0.25">
      <c r="A76" t="s">
        <v>542</v>
      </c>
      <c r="B76">
        <v>110</v>
      </c>
      <c r="C76" s="137" t="s">
        <v>354</v>
      </c>
      <c r="D76">
        <v>10</v>
      </c>
      <c r="E76">
        <v>32.57</v>
      </c>
      <c r="G76">
        <v>598.29999999999995</v>
      </c>
      <c r="H76">
        <v>5523</v>
      </c>
      <c r="I76">
        <v>29.81</v>
      </c>
      <c r="J76" s="129" t="s">
        <v>786</v>
      </c>
    </row>
    <row r="77" spans="1:11" x14ac:dyDescent="0.25">
      <c r="A77" t="s">
        <v>562</v>
      </c>
      <c r="B77">
        <v>60</v>
      </c>
      <c r="C77" s="137" t="s">
        <v>353</v>
      </c>
      <c r="D77">
        <v>10.4</v>
      </c>
      <c r="E77">
        <v>23.82</v>
      </c>
      <c r="G77">
        <v>356.9</v>
      </c>
      <c r="H77">
        <v>2274</v>
      </c>
      <c r="I77">
        <v>21.98</v>
      </c>
      <c r="J77" s="129" t="s">
        <v>786</v>
      </c>
    </row>
    <row r="78" spans="1:11" x14ac:dyDescent="0.25">
      <c r="A78" t="s">
        <v>561</v>
      </c>
      <c r="B78">
        <v>65</v>
      </c>
      <c r="C78" s="137" t="s">
        <v>353</v>
      </c>
      <c r="D78">
        <v>10.4</v>
      </c>
      <c r="E78">
        <v>24.97</v>
      </c>
      <c r="G78">
        <v>389.2</v>
      </c>
      <c r="H78">
        <v>2531</v>
      </c>
      <c r="I78">
        <v>23.02</v>
      </c>
      <c r="J78" s="129" t="s">
        <v>786</v>
      </c>
    </row>
    <row r="79" spans="1:11" x14ac:dyDescent="0.25">
      <c r="A79" t="s">
        <v>560</v>
      </c>
      <c r="B79">
        <v>70</v>
      </c>
      <c r="C79" s="137" t="s">
        <v>353</v>
      </c>
      <c r="D79">
        <v>10.4</v>
      </c>
      <c r="E79">
        <v>26.12</v>
      </c>
      <c r="G79">
        <v>421.5</v>
      </c>
      <c r="H79">
        <v>2799</v>
      </c>
      <c r="I79">
        <v>24.05</v>
      </c>
      <c r="J79" s="129" t="s">
        <v>786</v>
      </c>
    </row>
    <row r="80" spans="1:11" x14ac:dyDescent="0.25">
      <c r="A80" t="s">
        <v>559</v>
      </c>
      <c r="B80">
        <v>75</v>
      </c>
      <c r="C80" s="137" t="s">
        <v>353</v>
      </c>
      <c r="D80">
        <v>10.4</v>
      </c>
      <c r="E80">
        <v>27.27</v>
      </c>
      <c r="G80">
        <v>453.8</v>
      </c>
      <c r="H80">
        <v>3079</v>
      </c>
      <c r="I80">
        <v>25.09</v>
      </c>
      <c r="J80" s="129" t="s">
        <v>786</v>
      </c>
    </row>
    <row r="81" spans="1:10" x14ac:dyDescent="0.25">
      <c r="A81" t="s">
        <v>558</v>
      </c>
      <c r="B81">
        <v>80</v>
      </c>
      <c r="C81" s="137" t="s">
        <v>353</v>
      </c>
      <c r="D81">
        <v>10.4</v>
      </c>
      <c r="E81">
        <v>28.42</v>
      </c>
      <c r="G81">
        <v>486.2</v>
      </c>
      <c r="H81">
        <v>3370</v>
      </c>
      <c r="I81">
        <v>26.12</v>
      </c>
      <c r="J81" s="129" t="s">
        <v>786</v>
      </c>
    </row>
    <row r="82" spans="1:10" x14ac:dyDescent="0.25">
      <c r="A82" t="s">
        <v>557</v>
      </c>
      <c r="B82">
        <v>85</v>
      </c>
      <c r="C82" s="137" t="s">
        <v>353</v>
      </c>
      <c r="D82">
        <v>10.4</v>
      </c>
      <c r="E82">
        <v>29.57</v>
      </c>
      <c r="G82">
        <v>518.6</v>
      </c>
      <c r="H82">
        <v>3675</v>
      </c>
      <c r="I82">
        <v>27.16</v>
      </c>
      <c r="J82" s="129" t="s">
        <v>786</v>
      </c>
    </row>
    <row r="83" spans="1:10" x14ac:dyDescent="0.25">
      <c r="A83" t="s">
        <v>556</v>
      </c>
      <c r="B83">
        <v>90</v>
      </c>
      <c r="C83" s="137" t="s">
        <v>353</v>
      </c>
      <c r="D83">
        <v>10.4</v>
      </c>
      <c r="E83">
        <v>30.72</v>
      </c>
      <c r="G83">
        <v>551.1</v>
      </c>
      <c r="H83">
        <v>3991</v>
      </c>
      <c r="I83">
        <v>28.19</v>
      </c>
      <c r="J83" s="129" t="s">
        <v>786</v>
      </c>
    </row>
    <row r="84" spans="1:10" x14ac:dyDescent="0.25">
      <c r="A84" t="s">
        <v>555</v>
      </c>
      <c r="B84">
        <v>95</v>
      </c>
      <c r="C84" s="137" t="s">
        <v>353</v>
      </c>
      <c r="D84">
        <v>10.4</v>
      </c>
      <c r="E84">
        <v>31.5</v>
      </c>
      <c r="G84">
        <v>583.5</v>
      </c>
      <c r="H84">
        <v>4703</v>
      </c>
      <c r="I84">
        <v>28.85</v>
      </c>
      <c r="J84" s="129" t="s">
        <v>786</v>
      </c>
    </row>
    <row r="85" spans="1:10" x14ac:dyDescent="0.25">
      <c r="A85" t="s">
        <v>554</v>
      </c>
      <c r="B85">
        <v>100</v>
      </c>
      <c r="C85" s="137" t="s">
        <v>353</v>
      </c>
      <c r="D85">
        <v>10.4</v>
      </c>
      <c r="E85">
        <v>32.65</v>
      </c>
      <c r="G85">
        <v>616.1</v>
      </c>
      <c r="H85">
        <v>5095</v>
      </c>
      <c r="I85">
        <v>29.89</v>
      </c>
      <c r="J85" s="129" t="s">
        <v>786</v>
      </c>
    </row>
    <row r="86" spans="1:10" x14ac:dyDescent="0.25">
      <c r="A86" t="s">
        <v>553</v>
      </c>
      <c r="B86">
        <v>105</v>
      </c>
      <c r="C86" s="137" t="s">
        <v>353</v>
      </c>
      <c r="D86">
        <v>10.4</v>
      </c>
      <c r="E86">
        <v>33.799999999999997</v>
      </c>
      <c r="G86">
        <v>648.70000000000005</v>
      </c>
      <c r="H86">
        <v>5502</v>
      </c>
      <c r="I86">
        <v>30.92</v>
      </c>
      <c r="J86" s="129" t="s">
        <v>786</v>
      </c>
    </row>
    <row r="87" spans="1:10" x14ac:dyDescent="0.25">
      <c r="A87" t="s">
        <v>552</v>
      </c>
      <c r="B87">
        <v>110</v>
      </c>
      <c r="C87" s="137" t="s">
        <v>353</v>
      </c>
      <c r="D87">
        <v>10.4</v>
      </c>
      <c r="E87">
        <v>34.950000000000003</v>
      </c>
      <c r="G87">
        <v>681.3</v>
      </c>
      <c r="H87">
        <v>5923</v>
      </c>
      <c r="I87">
        <v>31.96</v>
      </c>
      <c r="J87" s="129" t="s">
        <v>786</v>
      </c>
    </row>
  </sheetData>
  <sortState ref="A3:J96">
    <sortCondition ref="C3:C96"/>
    <sortCondition ref="B3:B96"/>
  </sortState>
  <mergeCells count="1">
    <mergeCell ref="A1:J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61"/>
  <sheetViews>
    <sheetView workbookViewId="0">
      <selection activeCell="C45" sqref="C45"/>
    </sheetView>
  </sheetViews>
  <sheetFormatPr defaultRowHeight="15" x14ac:dyDescent="0.25"/>
  <cols>
    <col min="2" max="2" width="7" style="135" bestFit="1" customWidth="1"/>
    <col min="3" max="3" width="7" style="137" customWidth="1"/>
    <col min="6" max="6" width="10.140625" customWidth="1"/>
    <col min="7" max="7" width="10.5703125" customWidth="1"/>
    <col min="10" max="10" width="6.7109375" bestFit="1" customWidth="1"/>
    <col min="11" max="11" width="8.42578125" bestFit="1" customWidth="1"/>
  </cols>
  <sheetData>
    <row r="1" spans="1:11" ht="21" x14ac:dyDescent="0.35">
      <c r="A1" s="250" t="s">
        <v>770</v>
      </c>
      <c r="B1" s="250"/>
      <c r="C1" s="250"/>
      <c r="D1" s="250"/>
      <c r="E1" s="250"/>
      <c r="F1" s="250"/>
      <c r="G1" s="250"/>
      <c r="H1" s="250"/>
      <c r="I1" s="250"/>
      <c r="J1" s="250"/>
      <c r="K1" s="250"/>
    </row>
    <row r="2" spans="1:11" ht="75" x14ac:dyDescent="0.25">
      <c r="A2" s="3" t="s">
        <v>571</v>
      </c>
      <c r="B2" s="134" t="s">
        <v>762</v>
      </c>
      <c r="C2" s="136" t="s">
        <v>1</v>
      </c>
      <c r="D2" s="3" t="s">
        <v>764</v>
      </c>
      <c r="E2" s="3" t="s">
        <v>763</v>
      </c>
      <c r="F2" s="3" t="s">
        <v>765</v>
      </c>
      <c r="G2" s="3" t="s">
        <v>574</v>
      </c>
      <c r="H2" s="3" t="s">
        <v>572</v>
      </c>
      <c r="I2" s="3" t="s">
        <v>575</v>
      </c>
      <c r="J2" s="3" t="s">
        <v>747</v>
      </c>
      <c r="K2" s="3" t="s">
        <v>573</v>
      </c>
    </row>
    <row r="3" spans="1:11" x14ac:dyDescent="0.25">
      <c r="A3" t="s">
        <v>600</v>
      </c>
      <c r="B3" s="135">
        <v>30</v>
      </c>
      <c r="C3" s="137">
        <v>1</v>
      </c>
      <c r="D3">
        <v>6</v>
      </c>
      <c r="E3">
        <v>11.2</v>
      </c>
      <c r="F3">
        <v>0.28000000000000003</v>
      </c>
      <c r="G3">
        <v>67.2</v>
      </c>
      <c r="H3">
        <v>776</v>
      </c>
      <c r="I3">
        <v>5.5</v>
      </c>
      <c r="J3" t="s">
        <v>748</v>
      </c>
      <c r="K3">
        <v>2</v>
      </c>
    </row>
    <row r="4" spans="1:11" x14ac:dyDescent="0.25">
      <c r="A4" t="s">
        <v>601</v>
      </c>
      <c r="B4" s="135">
        <v>35</v>
      </c>
      <c r="C4" s="137">
        <v>1</v>
      </c>
      <c r="D4">
        <v>6</v>
      </c>
      <c r="E4">
        <v>11.6</v>
      </c>
      <c r="F4">
        <v>0.28000000000000003</v>
      </c>
      <c r="G4">
        <v>80.400000000000006</v>
      </c>
      <c r="H4">
        <v>939</v>
      </c>
      <c r="I4">
        <v>6</v>
      </c>
      <c r="J4" t="s">
        <v>748</v>
      </c>
      <c r="K4">
        <v>2</v>
      </c>
    </row>
    <row r="5" spans="1:11" x14ac:dyDescent="0.25">
      <c r="A5" t="s">
        <v>602</v>
      </c>
      <c r="B5" s="135">
        <v>40</v>
      </c>
      <c r="C5" s="137">
        <v>1</v>
      </c>
      <c r="D5">
        <v>6</v>
      </c>
      <c r="E5">
        <v>12.6</v>
      </c>
      <c r="F5">
        <v>0.28000000000000003</v>
      </c>
      <c r="G5">
        <v>93.6</v>
      </c>
      <c r="H5">
        <v>1172</v>
      </c>
      <c r="I5">
        <v>6</v>
      </c>
      <c r="J5" t="s">
        <v>748</v>
      </c>
      <c r="K5">
        <v>3</v>
      </c>
    </row>
    <row r="6" spans="1:11" x14ac:dyDescent="0.25">
      <c r="A6" t="s">
        <v>603</v>
      </c>
      <c r="B6" s="135">
        <v>45</v>
      </c>
      <c r="C6" s="137">
        <v>1</v>
      </c>
      <c r="D6">
        <v>6</v>
      </c>
      <c r="E6">
        <v>13.5</v>
      </c>
      <c r="F6">
        <v>0.28000000000000003</v>
      </c>
      <c r="G6">
        <v>106.8</v>
      </c>
      <c r="H6">
        <v>1362</v>
      </c>
      <c r="I6">
        <v>6.5</v>
      </c>
      <c r="J6" t="s">
        <v>748</v>
      </c>
      <c r="K6">
        <v>3</v>
      </c>
    </row>
    <row r="7" spans="1:11" x14ac:dyDescent="0.25">
      <c r="A7" t="s">
        <v>604</v>
      </c>
      <c r="B7" s="135">
        <v>50</v>
      </c>
      <c r="C7" s="137">
        <v>1</v>
      </c>
      <c r="D7">
        <v>6</v>
      </c>
      <c r="E7">
        <v>14.5</v>
      </c>
      <c r="F7">
        <v>0.28000000000000003</v>
      </c>
      <c r="G7">
        <v>119.9</v>
      </c>
      <c r="H7">
        <v>1567</v>
      </c>
      <c r="I7">
        <v>7</v>
      </c>
      <c r="J7" t="s">
        <v>748</v>
      </c>
      <c r="K7">
        <v>3</v>
      </c>
    </row>
    <row r="8" spans="1:11" x14ac:dyDescent="0.25">
      <c r="A8" t="s">
        <v>605</v>
      </c>
      <c r="B8" s="135">
        <v>55</v>
      </c>
      <c r="C8" s="137">
        <v>1</v>
      </c>
      <c r="D8">
        <v>6</v>
      </c>
      <c r="E8">
        <v>15</v>
      </c>
      <c r="F8">
        <v>0.28000000000000003</v>
      </c>
      <c r="G8">
        <v>133.1</v>
      </c>
      <c r="H8">
        <v>1857</v>
      </c>
      <c r="I8">
        <v>7.5</v>
      </c>
      <c r="J8" t="s">
        <v>748</v>
      </c>
      <c r="K8">
        <v>4</v>
      </c>
    </row>
    <row r="9" spans="1:11" x14ac:dyDescent="0.25">
      <c r="A9" t="s">
        <v>606</v>
      </c>
      <c r="B9" s="135">
        <v>60</v>
      </c>
      <c r="C9" s="137">
        <v>1</v>
      </c>
      <c r="D9">
        <v>6</v>
      </c>
      <c r="E9">
        <v>15.9</v>
      </c>
      <c r="F9">
        <v>0.28000000000000003</v>
      </c>
      <c r="G9">
        <v>146.30000000000001</v>
      </c>
      <c r="H9">
        <v>2083</v>
      </c>
      <c r="I9">
        <v>8</v>
      </c>
      <c r="J9" t="s">
        <v>748</v>
      </c>
      <c r="K9">
        <v>4</v>
      </c>
    </row>
    <row r="10" spans="1:11" x14ac:dyDescent="0.25">
      <c r="A10" t="s">
        <v>607</v>
      </c>
      <c r="B10" s="135">
        <v>65</v>
      </c>
      <c r="C10" s="137">
        <v>1</v>
      </c>
      <c r="D10">
        <v>6</v>
      </c>
      <c r="E10">
        <v>16.899999999999999</v>
      </c>
      <c r="F10">
        <v>0.28000000000000003</v>
      </c>
      <c r="G10">
        <v>159.4</v>
      </c>
      <c r="H10">
        <v>2373</v>
      </c>
      <c r="I10">
        <v>8.5</v>
      </c>
      <c r="J10" t="s">
        <v>748</v>
      </c>
      <c r="K10">
        <v>4</v>
      </c>
    </row>
    <row r="11" spans="1:11" x14ac:dyDescent="0.25">
      <c r="A11" t="s">
        <v>608</v>
      </c>
      <c r="B11" s="135">
        <v>70</v>
      </c>
      <c r="C11" s="137">
        <v>1</v>
      </c>
      <c r="D11">
        <v>6</v>
      </c>
      <c r="E11">
        <v>17.399999999999999</v>
      </c>
      <c r="F11">
        <v>0.28000000000000003</v>
      </c>
      <c r="G11">
        <v>172.6</v>
      </c>
      <c r="H11">
        <v>2680</v>
      </c>
      <c r="I11">
        <v>9</v>
      </c>
      <c r="J11" t="s">
        <v>748</v>
      </c>
      <c r="K11">
        <v>5</v>
      </c>
    </row>
    <row r="12" spans="1:11" x14ac:dyDescent="0.25">
      <c r="A12" t="s">
        <v>609</v>
      </c>
      <c r="B12" s="135">
        <v>30</v>
      </c>
      <c r="C12" s="137">
        <v>2</v>
      </c>
      <c r="D12">
        <v>6</v>
      </c>
      <c r="E12">
        <v>11.2</v>
      </c>
      <c r="F12">
        <v>0.22</v>
      </c>
      <c r="G12">
        <v>44.8</v>
      </c>
      <c r="H12">
        <v>630</v>
      </c>
      <c r="I12">
        <v>5.5</v>
      </c>
      <c r="J12" t="s">
        <v>748</v>
      </c>
      <c r="K12">
        <v>2</v>
      </c>
    </row>
    <row r="13" spans="1:11" x14ac:dyDescent="0.25">
      <c r="A13" t="s">
        <v>610</v>
      </c>
      <c r="B13" s="135">
        <v>35</v>
      </c>
      <c r="C13" s="137">
        <v>2</v>
      </c>
      <c r="D13">
        <v>6</v>
      </c>
      <c r="E13">
        <v>11.7</v>
      </c>
      <c r="F13">
        <v>0.22</v>
      </c>
      <c r="G13">
        <v>66.099999999999994</v>
      </c>
      <c r="H13">
        <v>762</v>
      </c>
      <c r="I13">
        <v>6</v>
      </c>
      <c r="J13" t="s">
        <v>748</v>
      </c>
      <c r="K13">
        <v>2</v>
      </c>
    </row>
    <row r="14" spans="1:11" x14ac:dyDescent="0.25">
      <c r="A14" t="s">
        <v>611</v>
      </c>
      <c r="B14" s="135">
        <v>40</v>
      </c>
      <c r="C14" s="137">
        <v>2</v>
      </c>
      <c r="D14">
        <v>6</v>
      </c>
      <c r="E14">
        <v>12.7</v>
      </c>
      <c r="F14">
        <v>0.22</v>
      </c>
      <c r="G14">
        <v>76.900000000000006</v>
      </c>
      <c r="H14">
        <v>951</v>
      </c>
      <c r="I14">
        <v>6</v>
      </c>
      <c r="J14" t="s">
        <v>748</v>
      </c>
      <c r="K14">
        <v>3</v>
      </c>
    </row>
    <row r="15" spans="1:11" x14ac:dyDescent="0.25">
      <c r="A15" t="s">
        <v>612</v>
      </c>
      <c r="B15" s="135">
        <v>45</v>
      </c>
      <c r="C15" s="137">
        <v>2</v>
      </c>
      <c r="D15">
        <v>6</v>
      </c>
      <c r="E15">
        <v>13.6</v>
      </c>
      <c r="F15">
        <v>0.22</v>
      </c>
      <c r="G15">
        <v>87.8</v>
      </c>
      <c r="H15">
        <v>1105</v>
      </c>
      <c r="I15">
        <v>6.5</v>
      </c>
      <c r="J15" t="s">
        <v>748</v>
      </c>
      <c r="K15">
        <v>3</v>
      </c>
    </row>
    <row r="16" spans="1:11" x14ac:dyDescent="0.25">
      <c r="A16" t="s">
        <v>613</v>
      </c>
      <c r="B16" s="135">
        <v>50</v>
      </c>
      <c r="C16" s="137">
        <v>2</v>
      </c>
      <c r="D16">
        <v>6</v>
      </c>
      <c r="E16">
        <v>14.6</v>
      </c>
      <c r="F16">
        <v>0.22</v>
      </c>
      <c r="G16">
        <v>98.6</v>
      </c>
      <c r="H16">
        <v>1271</v>
      </c>
      <c r="I16">
        <v>7</v>
      </c>
      <c r="J16" t="s">
        <v>748</v>
      </c>
      <c r="K16">
        <v>3</v>
      </c>
    </row>
    <row r="17" spans="1:11" x14ac:dyDescent="0.25">
      <c r="A17" t="s">
        <v>614</v>
      </c>
      <c r="B17" s="135">
        <v>55</v>
      </c>
      <c r="C17" s="137">
        <v>2</v>
      </c>
      <c r="D17">
        <v>6</v>
      </c>
      <c r="E17">
        <v>15.1</v>
      </c>
      <c r="F17">
        <v>0.22</v>
      </c>
      <c r="G17">
        <v>109.4</v>
      </c>
      <c r="H17">
        <v>1506</v>
      </c>
      <c r="I17">
        <v>7.5</v>
      </c>
      <c r="J17" t="s">
        <v>748</v>
      </c>
      <c r="K17">
        <v>4</v>
      </c>
    </row>
    <row r="18" spans="1:11" x14ac:dyDescent="0.25">
      <c r="A18" t="s">
        <v>615</v>
      </c>
      <c r="B18" s="135">
        <v>60</v>
      </c>
      <c r="C18" s="137">
        <v>2</v>
      </c>
      <c r="D18">
        <v>6</v>
      </c>
      <c r="E18">
        <v>16</v>
      </c>
      <c r="F18">
        <v>0.22</v>
      </c>
      <c r="G18">
        <v>120.3</v>
      </c>
      <c r="H18">
        <v>1689</v>
      </c>
      <c r="I18">
        <v>8</v>
      </c>
      <c r="J18" t="s">
        <v>748</v>
      </c>
      <c r="K18">
        <v>4</v>
      </c>
    </row>
    <row r="19" spans="1:11" x14ac:dyDescent="0.25">
      <c r="A19" t="s">
        <v>616</v>
      </c>
      <c r="B19" s="135">
        <v>65</v>
      </c>
      <c r="C19" s="137">
        <v>2</v>
      </c>
      <c r="D19">
        <v>6</v>
      </c>
      <c r="E19">
        <v>17</v>
      </c>
      <c r="F19">
        <v>0.22</v>
      </c>
      <c r="G19">
        <v>131.1</v>
      </c>
      <c r="H19">
        <v>1883</v>
      </c>
      <c r="I19">
        <v>8.5</v>
      </c>
      <c r="J19" t="s">
        <v>748</v>
      </c>
      <c r="K19">
        <v>4</v>
      </c>
    </row>
    <row r="20" spans="1:11" x14ac:dyDescent="0.25">
      <c r="A20" t="s">
        <v>617</v>
      </c>
      <c r="B20" s="135">
        <v>70</v>
      </c>
      <c r="C20" s="137">
        <v>2</v>
      </c>
      <c r="D20">
        <v>6</v>
      </c>
      <c r="E20">
        <v>17.5</v>
      </c>
      <c r="F20">
        <v>0.22</v>
      </c>
      <c r="G20">
        <v>141.9</v>
      </c>
      <c r="H20">
        <v>2172</v>
      </c>
      <c r="I20">
        <v>9</v>
      </c>
      <c r="J20" t="s">
        <v>748</v>
      </c>
      <c r="K20">
        <v>5</v>
      </c>
    </row>
    <row r="21" spans="1:11" x14ac:dyDescent="0.25">
      <c r="A21" t="s">
        <v>618</v>
      </c>
      <c r="B21" s="135">
        <v>30</v>
      </c>
      <c r="C21" s="137">
        <v>3</v>
      </c>
      <c r="D21">
        <v>6</v>
      </c>
      <c r="E21">
        <v>11.3</v>
      </c>
      <c r="F21">
        <v>0.18</v>
      </c>
      <c r="G21">
        <v>44.9</v>
      </c>
      <c r="H21">
        <v>563</v>
      </c>
      <c r="I21">
        <v>5.5</v>
      </c>
      <c r="J21" t="s">
        <v>748</v>
      </c>
      <c r="K21">
        <v>2</v>
      </c>
    </row>
    <row r="22" spans="1:11" x14ac:dyDescent="0.25">
      <c r="A22" t="s">
        <v>619</v>
      </c>
      <c r="B22" s="135">
        <v>35</v>
      </c>
      <c r="C22" s="137">
        <v>3</v>
      </c>
      <c r="D22">
        <v>6</v>
      </c>
      <c r="E22">
        <v>11.9</v>
      </c>
      <c r="F22">
        <v>0.18</v>
      </c>
      <c r="G22">
        <v>53.6</v>
      </c>
      <c r="H22">
        <v>673</v>
      </c>
      <c r="I22">
        <v>6</v>
      </c>
      <c r="J22" t="s">
        <v>748</v>
      </c>
      <c r="K22">
        <v>2</v>
      </c>
    </row>
    <row r="23" spans="1:11" x14ac:dyDescent="0.25">
      <c r="A23" t="s">
        <v>620</v>
      </c>
      <c r="B23" s="135">
        <v>40</v>
      </c>
      <c r="C23" s="137">
        <v>3</v>
      </c>
      <c r="D23">
        <v>6</v>
      </c>
      <c r="E23">
        <v>12.8</v>
      </c>
      <c r="F23">
        <v>0.18</v>
      </c>
      <c r="G23">
        <v>62.4</v>
      </c>
      <c r="H23">
        <v>853</v>
      </c>
      <c r="I23">
        <v>6</v>
      </c>
      <c r="J23" t="s">
        <v>748</v>
      </c>
      <c r="K23">
        <v>3</v>
      </c>
    </row>
    <row r="24" spans="1:11" x14ac:dyDescent="0.25">
      <c r="A24" t="s">
        <v>621</v>
      </c>
      <c r="B24" s="135">
        <v>45</v>
      </c>
      <c r="C24" s="137">
        <v>3</v>
      </c>
      <c r="D24">
        <v>6</v>
      </c>
      <c r="E24">
        <v>13.8</v>
      </c>
      <c r="F24">
        <v>0.18</v>
      </c>
      <c r="G24">
        <v>71.099999999999994</v>
      </c>
      <c r="H24">
        <v>990</v>
      </c>
      <c r="I24">
        <v>6.5</v>
      </c>
      <c r="J24" t="s">
        <v>748</v>
      </c>
      <c r="K24">
        <v>3</v>
      </c>
    </row>
    <row r="25" spans="1:11" x14ac:dyDescent="0.25">
      <c r="A25" t="s">
        <v>622</v>
      </c>
      <c r="B25" s="135">
        <v>50</v>
      </c>
      <c r="C25" s="137">
        <v>3</v>
      </c>
      <c r="D25">
        <v>6</v>
      </c>
      <c r="E25">
        <v>14.4</v>
      </c>
      <c r="F25">
        <v>0.18</v>
      </c>
      <c r="G25">
        <v>79.900000000000006</v>
      </c>
      <c r="H25">
        <v>1138</v>
      </c>
      <c r="I25">
        <v>7</v>
      </c>
      <c r="J25" t="s">
        <v>748</v>
      </c>
      <c r="K25">
        <v>3</v>
      </c>
    </row>
    <row r="26" spans="1:11" x14ac:dyDescent="0.25">
      <c r="A26" t="s">
        <v>623</v>
      </c>
      <c r="B26" s="135">
        <v>55</v>
      </c>
      <c r="C26" s="137">
        <v>3</v>
      </c>
      <c r="D26">
        <v>6</v>
      </c>
      <c r="E26">
        <v>15.3</v>
      </c>
      <c r="F26">
        <v>0.18</v>
      </c>
      <c r="G26">
        <v>88.7</v>
      </c>
      <c r="H26">
        <v>1350</v>
      </c>
      <c r="I26">
        <v>7.5</v>
      </c>
      <c r="J26" t="s">
        <v>748</v>
      </c>
      <c r="K26">
        <v>4</v>
      </c>
    </row>
    <row r="27" spans="1:11" x14ac:dyDescent="0.25">
      <c r="A27" t="s">
        <v>624</v>
      </c>
      <c r="B27" s="135">
        <v>60</v>
      </c>
      <c r="C27" s="137">
        <v>3</v>
      </c>
      <c r="D27">
        <v>6</v>
      </c>
      <c r="E27">
        <v>16.3</v>
      </c>
      <c r="F27">
        <v>0.18</v>
      </c>
      <c r="G27">
        <v>97.5</v>
      </c>
      <c r="H27">
        <v>1513</v>
      </c>
      <c r="I27">
        <v>8</v>
      </c>
      <c r="J27" t="s">
        <v>748</v>
      </c>
      <c r="K27">
        <v>4</v>
      </c>
    </row>
    <row r="28" spans="1:11" x14ac:dyDescent="0.25">
      <c r="A28" t="s">
        <v>625</v>
      </c>
      <c r="B28" s="135">
        <v>65</v>
      </c>
      <c r="C28" s="137">
        <v>3</v>
      </c>
      <c r="D28">
        <v>6</v>
      </c>
      <c r="E28">
        <v>17.2</v>
      </c>
      <c r="F28">
        <v>0.18</v>
      </c>
      <c r="G28">
        <v>106.2</v>
      </c>
      <c r="H28">
        <v>1685</v>
      </c>
      <c r="I28">
        <v>8.5</v>
      </c>
      <c r="J28" t="s">
        <v>748</v>
      </c>
      <c r="K28">
        <v>4</v>
      </c>
    </row>
    <row r="29" spans="1:11" x14ac:dyDescent="0.25">
      <c r="A29" t="s">
        <v>626</v>
      </c>
      <c r="B29" s="135">
        <v>70</v>
      </c>
      <c r="C29" s="137">
        <v>3</v>
      </c>
      <c r="D29">
        <v>6</v>
      </c>
      <c r="E29">
        <v>17.8</v>
      </c>
      <c r="F29">
        <v>0.18</v>
      </c>
      <c r="G29">
        <v>115</v>
      </c>
      <c r="H29">
        <v>1941</v>
      </c>
      <c r="I29">
        <v>9</v>
      </c>
      <c r="J29" t="s">
        <v>748</v>
      </c>
      <c r="K29">
        <v>5</v>
      </c>
    </row>
    <row r="30" spans="1:11" x14ac:dyDescent="0.25">
      <c r="A30" t="s">
        <v>627</v>
      </c>
      <c r="B30" s="135">
        <v>30</v>
      </c>
      <c r="C30" s="137">
        <v>4</v>
      </c>
      <c r="D30">
        <v>6</v>
      </c>
      <c r="E30">
        <v>11.3</v>
      </c>
      <c r="F30">
        <v>0.18</v>
      </c>
      <c r="G30">
        <v>44.9</v>
      </c>
      <c r="H30">
        <v>563</v>
      </c>
      <c r="I30">
        <v>5.5</v>
      </c>
      <c r="J30" t="s">
        <v>748</v>
      </c>
      <c r="K30">
        <v>2</v>
      </c>
    </row>
    <row r="31" spans="1:11" x14ac:dyDescent="0.25">
      <c r="A31" t="s">
        <v>628</v>
      </c>
      <c r="B31" s="135">
        <v>35</v>
      </c>
      <c r="C31" s="137">
        <v>4</v>
      </c>
      <c r="D31">
        <v>6</v>
      </c>
      <c r="E31">
        <v>11.9</v>
      </c>
      <c r="F31">
        <v>0.18</v>
      </c>
      <c r="G31">
        <v>53.6</v>
      </c>
      <c r="H31">
        <v>673</v>
      </c>
      <c r="I31">
        <v>6</v>
      </c>
      <c r="J31" t="s">
        <v>748</v>
      </c>
      <c r="K31">
        <v>2</v>
      </c>
    </row>
    <row r="32" spans="1:11" x14ac:dyDescent="0.25">
      <c r="A32" t="s">
        <v>629</v>
      </c>
      <c r="B32" s="135">
        <v>40</v>
      </c>
      <c r="C32" s="137">
        <v>4</v>
      </c>
      <c r="D32">
        <v>6</v>
      </c>
      <c r="E32">
        <v>12.8</v>
      </c>
      <c r="F32">
        <v>0.18</v>
      </c>
      <c r="G32">
        <v>62.4</v>
      </c>
      <c r="H32">
        <v>853</v>
      </c>
      <c r="I32">
        <v>6</v>
      </c>
      <c r="J32" t="s">
        <v>748</v>
      </c>
      <c r="K32">
        <v>3</v>
      </c>
    </row>
    <row r="33" spans="1:11" x14ac:dyDescent="0.25">
      <c r="A33" t="s">
        <v>630</v>
      </c>
      <c r="B33" s="135">
        <v>45</v>
      </c>
      <c r="C33" s="137">
        <v>4</v>
      </c>
      <c r="D33">
        <v>6</v>
      </c>
      <c r="E33">
        <v>13.8</v>
      </c>
      <c r="F33">
        <v>0.18</v>
      </c>
      <c r="G33">
        <v>71.099999999999994</v>
      </c>
      <c r="H33">
        <v>990</v>
      </c>
      <c r="I33">
        <v>6.5</v>
      </c>
      <c r="J33" t="s">
        <v>748</v>
      </c>
      <c r="K33">
        <v>3</v>
      </c>
    </row>
    <row r="34" spans="1:11" x14ac:dyDescent="0.25">
      <c r="A34" t="s">
        <v>631</v>
      </c>
      <c r="B34" s="135">
        <v>50</v>
      </c>
      <c r="C34" s="137">
        <v>4</v>
      </c>
      <c r="D34">
        <v>6</v>
      </c>
      <c r="E34">
        <v>14.4</v>
      </c>
      <c r="F34">
        <v>0.18</v>
      </c>
      <c r="G34">
        <v>79.900000000000006</v>
      </c>
      <c r="H34">
        <v>1138</v>
      </c>
      <c r="I34">
        <v>7</v>
      </c>
      <c r="J34" t="s">
        <v>748</v>
      </c>
      <c r="K34">
        <v>3</v>
      </c>
    </row>
    <row r="35" spans="1:11" x14ac:dyDescent="0.25">
      <c r="A35" t="s">
        <v>632</v>
      </c>
      <c r="B35" s="135">
        <v>55</v>
      </c>
      <c r="C35" s="137">
        <v>4</v>
      </c>
      <c r="D35">
        <v>6</v>
      </c>
      <c r="E35">
        <v>15.3</v>
      </c>
      <c r="F35">
        <v>0.18</v>
      </c>
      <c r="G35">
        <v>88.7</v>
      </c>
      <c r="H35">
        <v>1350</v>
      </c>
      <c r="I35">
        <v>7.5</v>
      </c>
      <c r="J35" t="s">
        <v>748</v>
      </c>
      <c r="K35">
        <v>4</v>
      </c>
    </row>
    <row r="36" spans="1:11" x14ac:dyDescent="0.25">
      <c r="A36" t="s">
        <v>633</v>
      </c>
      <c r="B36" s="135">
        <v>60</v>
      </c>
      <c r="C36" s="137">
        <v>4</v>
      </c>
      <c r="D36">
        <v>6</v>
      </c>
      <c r="E36">
        <v>16.3</v>
      </c>
      <c r="F36">
        <v>0.18</v>
      </c>
      <c r="G36">
        <v>97.5</v>
      </c>
      <c r="H36">
        <v>1513</v>
      </c>
      <c r="I36">
        <v>8</v>
      </c>
      <c r="J36" t="s">
        <v>748</v>
      </c>
      <c r="K36">
        <v>4</v>
      </c>
    </row>
    <row r="37" spans="1:11" x14ac:dyDescent="0.25">
      <c r="A37" t="s">
        <v>634</v>
      </c>
      <c r="B37" s="135">
        <v>65</v>
      </c>
      <c r="C37" s="137">
        <v>4</v>
      </c>
      <c r="D37">
        <v>6</v>
      </c>
      <c r="E37">
        <v>17.2</v>
      </c>
      <c r="F37">
        <v>0.18</v>
      </c>
      <c r="G37">
        <v>106.2</v>
      </c>
      <c r="H37">
        <v>1685</v>
      </c>
      <c r="I37">
        <v>8.5</v>
      </c>
      <c r="J37" t="s">
        <v>748</v>
      </c>
      <c r="K37">
        <v>4</v>
      </c>
    </row>
    <row r="38" spans="1:11" x14ac:dyDescent="0.25">
      <c r="A38" t="s">
        <v>592</v>
      </c>
      <c r="B38" s="135">
        <v>30</v>
      </c>
      <c r="C38" s="137" t="s">
        <v>297</v>
      </c>
      <c r="D38">
        <v>8.6999999999999993</v>
      </c>
      <c r="E38">
        <v>13.9</v>
      </c>
      <c r="F38">
        <v>0.22</v>
      </c>
      <c r="G38">
        <v>80.7</v>
      </c>
      <c r="H38">
        <v>842</v>
      </c>
      <c r="I38">
        <v>5.5</v>
      </c>
      <c r="J38" t="s">
        <v>748</v>
      </c>
      <c r="K38">
        <v>2</v>
      </c>
    </row>
    <row r="39" spans="1:11" x14ac:dyDescent="0.25">
      <c r="A39" t="s">
        <v>593</v>
      </c>
      <c r="B39" s="135">
        <v>35</v>
      </c>
      <c r="C39" s="137" t="s">
        <v>297</v>
      </c>
      <c r="D39">
        <v>8.6999999999999993</v>
      </c>
      <c r="E39">
        <v>14.4</v>
      </c>
      <c r="F39">
        <v>0.22</v>
      </c>
      <c r="G39">
        <v>96.5</v>
      </c>
      <c r="H39">
        <v>994</v>
      </c>
      <c r="I39">
        <v>6</v>
      </c>
      <c r="J39" t="s">
        <v>748</v>
      </c>
      <c r="K39">
        <v>2</v>
      </c>
    </row>
    <row r="40" spans="1:11" x14ac:dyDescent="0.25">
      <c r="A40" t="s">
        <v>594</v>
      </c>
      <c r="B40" s="135">
        <v>40</v>
      </c>
      <c r="C40" s="137" t="s">
        <v>297</v>
      </c>
      <c r="D40">
        <v>8.6999999999999993</v>
      </c>
      <c r="E40">
        <v>15.3</v>
      </c>
      <c r="F40">
        <v>0.22</v>
      </c>
      <c r="G40">
        <v>112.3</v>
      </c>
      <c r="H40">
        <v>1248</v>
      </c>
      <c r="I40">
        <v>6</v>
      </c>
      <c r="J40" t="s">
        <v>748</v>
      </c>
      <c r="K40">
        <v>3</v>
      </c>
    </row>
    <row r="41" spans="1:11" x14ac:dyDescent="0.25">
      <c r="A41" t="s">
        <v>595</v>
      </c>
      <c r="B41" s="135">
        <v>45</v>
      </c>
      <c r="C41" s="137" t="s">
        <v>297</v>
      </c>
      <c r="D41">
        <v>8.6999999999999993</v>
      </c>
      <c r="E41">
        <v>16.3</v>
      </c>
      <c r="F41">
        <v>0.22</v>
      </c>
      <c r="G41">
        <v>128.1</v>
      </c>
      <c r="H41">
        <v>1436</v>
      </c>
      <c r="I41">
        <v>6.5</v>
      </c>
      <c r="J41" t="s">
        <v>748</v>
      </c>
      <c r="K41">
        <v>3</v>
      </c>
    </row>
    <row r="42" spans="1:11" x14ac:dyDescent="0.25">
      <c r="A42" t="s">
        <v>596</v>
      </c>
      <c r="B42" s="135">
        <v>50</v>
      </c>
      <c r="C42" s="137" t="s">
        <v>297</v>
      </c>
      <c r="D42">
        <v>8.6999999999999993</v>
      </c>
      <c r="E42">
        <v>17.2</v>
      </c>
      <c r="F42">
        <v>0.22</v>
      </c>
      <c r="G42">
        <v>143.9</v>
      </c>
      <c r="H42">
        <v>1634</v>
      </c>
      <c r="I42">
        <v>7</v>
      </c>
      <c r="J42" t="s">
        <v>748</v>
      </c>
      <c r="K42">
        <v>3</v>
      </c>
    </row>
    <row r="43" spans="1:11" x14ac:dyDescent="0.25">
      <c r="A43" t="s">
        <v>597</v>
      </c>
      <c r="B43" s="135">
        <v>55</v>
      </c>
      <c r="C43" s="137" t="s">
        <v>297</v>
      </c>
      <c r="D43">
        <v>8.6999999999999993</v>
      </c>
      <c r="E43">
        <v>17.7</v>
      </c>
      <c r="F43">
        <v>0.22</v>
      </c>
      <c r="G43">
        <v>159.69999999999999</v>
      </c>
      <c r="H43">
        <v>1925</v>
      </c>
      <c r="I43">
        <v>7.5</v>
      </c>
      <c r="J43" t="s">
        <v>748</v>
      </c>
      <c r="K43">
        <v>4</v>
      </c>
    </row>
    <row r="44" spans="1:11" x14ac:dyDescent="0.25">
      <c r="A44" t="s">
        <v>598</v>
      </c>
      <c r="B44" s="135">
        <v>60</v>
      </c>
      <c r="C44" s="137" t="s">
        <v>297</v>
      </c>
      <c r="D44">
        <v>8.6999999999999993</v>
      </c>
      <c r="E44">
        <v>18.7</v>
      </c>
      <c r="F44">
        <v>0.22</v>
      </c>
      <c r="G44">
        <v>175.5</v>
      </c>
      <c r="H44">
        <v>2141</v>
      </c>
      <c r="I44">
        <v>8</v>
      </c>
      <c r="J44" t="s">
        <v>748</v>
      </c>
      <c r="K44">
        <v>4</v>
      </c>
    </row>
    <row r="45" spans="1:11" x14ac:dyDescent="0.25">
      <c r="A45" t="s">
        <v>599</v>
      </c>
      <c r="B45" s="135">
        <v>65</v>
      </c>
      <c r="C45" s="137" t="s">
        <v>297</v>
      </c>
      <c r="D45">
        <v>8.6999999999999993</v>
      </c>
      <c r="E45">
        <v>19.600000000000001</v>
      </c>
      <c r="F45">
        <v>0.22</v>
      </c>
      <c r="G45">
        <v>191.3</v>
      </c>
      <c r="H45">
        <v>2368</v>
      </c>
      <c r="I45">
        <v>8.5</v>
      </c>
      <c r="J45" t="s">
        <v>748</v>
      </c>
      <c r="K45">
        <v>4</v>
      </c>
    </row>
    <row r="46" spans="1:11" x14ac:dyDescent="0.25">
      <c r="A46" t="s">
        <v>584</v>
      </c>
      <c r="B46" s="135">
        <v>30</v>
      </c>
      <c r="C46" s="137" t="s">
        <v>296</v>
      </c>
      <c r="D46">
        <v>8.6999999999999993</v>
      </c>
      <c r="E46">
        <v>13.9</v>
      </c>
      <c r="F46">
        <v>0.28000000000000003</v>
      </c>
      <c r="G46">
        <v>95.7</v>
      </c>
      <c r="H46">
        <v>1038</v>
      </c>
      <c r="I46">
        <v>5.5</v>
      </c>
      <c r="J46" t="s">
        <v>748</v>
      </c>
      <c r="K46">
        <v>2</v>
      </c>
    </row>
    <row r="47" spans="1:11" x14ac:dyDescent="0.25">
      <c r="A47" t="s">
        <v>585</v>
      </c>
      <c r="B47" s="135">
        <v>35</v>
      </c>
      <c r="C47" s="137" t="s">
        <v>296</v>
      </c>
      <c r="D47">
        <v>8.6999999999999993</v>
      </c>
      <c r="E47">
        <v>14.4</v>
      </c>
      <c r="F47">
        <v>0.28000000000000003</v>
      </c>
      <c r="G47">
        <v>114.4</v>
      </c>
      <c r="H47">
        <v>1226</v>
      </c>
      <c r="I47">
        <v>6</v>
      </c>
      <c r="J47" t="s">
        <v>748</v>
      </c>
      <c r="K47">
        <v>2</v>
      </c>
    </row>
    <row r="48" spans="1:11" x14ac:dyDescent="0.25">
      <c r="A48" t="s">
        <v>586</v>
      </c>
      <c r="B48" s="135">
        <v>40</v>
      </c>
      <c r="C48" s="137" t="s">
        <v>296</v>
      </c>
      <c r="D48">
        <v>8.6999999999999993</v>
      </c>
      <c r="E48">
        <v>15.3</v>
      </c>
      <c r="F48">
        <v>0.28000000000000003</v>
      </c>
      <c r="G48">
        <v>133.4</v>
      </c>
      <c r="H48">
        <v>1540</v>
      </c>
      <c r="I48">
        <v>6</v>
      </c>
      <c r="J48" t="s">
        <v>748</v>
      </c>
      <c r="K48">
        <v>3</v>
      </c>
    </row>
    <row r="49" spans="1:11" x14ac:dyDescent="0.25">
      <c r="A49" t="s">
        <v>587</v>
      </c>
      <c r="B49" s="135">
        <v>45</v>
      </c>
      <c r="C49" s="137" t="s">
        <v>296</v>
      </c>
      <c r="D49">
        <v>8.6999999999999993</v>
      </c>
      <c r="E49">
        <v>16.3</v>
      </c>
      <c r="F49">
        <v>0.28000000000000003</v>
      </c>
      <c r="G49">
        <v>151.80000000000001</v>
      </c>
      <c r="H49">
        <v>1771</v>
      </c>
      <c r="I49">
        <v>6.5</v>
      </c>
      <c r="J49" t="s">
        <v>748</v>
      </c>
      <c r="K49">
        <v>3</v>
      </c>
    </row>
    <row r="50" spans="1:11" x14ac:dyDescent="0.25">
      <c r="A50" t="s">
        <v>588</v>
      </c>
      <c r="B50" s="135">
        <v>50</v>
      </c>
      <c r="C50" s="137" t="s">
        <v>296</v>
      </c>
      <c r="D50">
        <v>8.6999999999999993</v>
      </c>
      <c r="E50">
        <v>17.2</v>
      </c>
      <c r="F50">
        <v>0.28000000000000003</v>
      </c>
      <c r="G50">
        <v>170.6</v>
      </c>
      <c r="H50">
        <v>2017</v>
      </c>
      <c r="I50">
        <v>7</v>
      </c>
      <c r="J50" t="s">
        <v>748</v>
      </c>
      <c r="K50">
        <v>3</v>
      </c>
    </row>
    <row r="51" spans="1:11" x14ac:dyDescent="0.25">
      <c r="A51" t="s">
        <v>589</v>
      </c>
      <c r="B51" s="135">
        <v>55</v>
      </c>
      <c r="C51" s="137" t="s">
        <v>296</v>
      </c>
      <c r="D51">
        <v>8.6999999999999993</v>
      </c>
      <c r="E51">
        <v>17.7</v>
      </c>
      <c r="F51">
        <v>0.28000000000000003</v>
      </c>
      <c r="G51">
        <v>189.3</v>
      </c>
      <c r="H51">
        <v>2376</v>
      </c>
      <c r="I51">
        <v>7.5</v>
      </c>
      <c r="J51" t="s">
        <v>748</v>
      </c>
      <c r="K51">
        <v>4</v>
      </c>
    </row>
    <row r="52" spans="1:11" x14ac:dyDescent="0.25">
      <c r="A52" t="s">
        <v>590</v>
      </c>
      <c r="B52" s="135">
        <v>60</v>
      </c>
      <c r="C52" s="137" t="s">
        <v>296</v>
      </c>
      <c r="D52">
        <v>8.6999999999999993</v>
      </c>
      <c r="E52">
        <v>18.7</v>
      </c>
      <c r="F52">
        <v>0.28000000000000003</v>
      </c>
      <c r="G52">
        <v>208</v>
      </c>
      <c r="H52">
        <v>2643</v>
      </c>
      <c r="I52">
        <v>8</v>
      </c>
      <c r="J52" t="s">
        <v>748</v>
      </c>
      <c r="K52">
        <v>4</v>
      </c>
    </row>
    <row r="53" spans="1:11" x14ac:dyDescent="0.25">
      <c r="A53" t="s">
        <v>591</v>
      </c>
      <c r="B53" s="135">
        <v>65</v>
      </c>
      <c r="C53" s="137" t="s">
        <v>296</v>
      </c>
      <c r="D53">
        <v>8.6999999999999993</v>
      </c>
      <c r="E53">
        <v>19.600000000000001</v>
      </c>
      <c r="F53">
        <v>0.28000000000000003</v>
      </c>
      <c r="G53">
        <v>226.7</v>
      </c>
      <c r="H53">
        <v>2924</v>
      </c>
      <c r="I53">
        <v>8.5</v>
      </c>
      <c r="J53" t="s">
        <v>748</v>
      </c>
      <c r="K53">
        <v>4</v>
      </c>
    </row>
    <row r="54" spans="1:11" x14ac:dyDescent="0.25">
      <c r="A54" t="s">
        <v>576</v>
      </c>
      <c r="B54" s="135">
        <v>30</v>
      </c>
      <c r="C54" s="137" t="s">
        <v>356</v>
      </c>
      <c r="D54">
        <v>8.6999999999999993</v>
      </c>
      <c r="E54">
        <v>13.9</v>
      </c>
      <c r="F54">
        <v>0.31</v>
      </c>
      <c r="G54">
        <v>112.1</v>
      </c>
      <c r="H54">
        <v>1136</v>
      </c>
      <c r="I54">
        <v>5.5</v>
      </c>
      <c r="J54" t="s">
        <v>748</v>
      </c>
      <c r="K54">
        <v>2</v>
      </c>
    </row>
    <row r="55" spans="1:11" x14ac:dyDescent="0.25">
      <c r="A55" t="s">
        <v>577</v>
      </c>
      <c r="B55" s="135">
        <v>35</v>
      </c>
      <c r="C55" s="137" t="s">
        <v>356</v>
      </c>
      <c r="D55">
        <v>8.6999999999999993</v>
      </c>
      <c r="E55">
        <v>14.4</v>
      </c>
      <c r="F55">
        <v>0.31</v>
      </c>
      <c r="G55">
        <v>134.1</v>
      </c>
      <c r="H55">
        <v>1341</v>
      </c>
      <c r="I55">
        <v>6</v>
      </c>
      <c r="J55" t="s">
        <v>748</v>
      </c>
      <c r="K55">
        <v>2</v>
      </c>
    </row>
    <row r="56" spans="1:11" x14ac:dyDescent="0.25">
      <c r="A56" t="s">
        <v>578</v>
      </c>
      <c r="B56" s="135">
        <v>40</v>
      </c>
      <c r="C56" s="137" t="s">
        <v>356</v>
      </c>
      <c r="D56">
        <v>8.6999999999999993</v>
      </c>
      <c r="E56">
        <v>15.3</v>
      </c>
      <c r="F56">
        <v>0.31</v>
      </c>
      <c r="G56">
        <v>156</v>
      </c>
      <c r="H56">
        <v>1685</v>
      </c>
      <c r="I56">
        <v>6</v>
      </c>
      <c r="J56" t="s">
        <v>748</v>
      </c>
      <c r="K56">
        <v>3</v>
      </c>
    </row>
    <row r="57" spans="1:11" x14ac:dyDescent="0.25">
      <c r="A57" t="s">
        <v>579</v>
      </c>
      <c r="B57" s="135">
        <v>45</v>
      </c>
      <c r="C57" s="137" t="s">
        <v>356</v>
      </c>
      <c r="D57">
        <v>8.6999999999999993</v>
      </c>
      <c r="E57">
        <v>16.3</v>
      </c>
      <c r="F57">
        <v>0.31</v>
      </c>
      <c r="G57">
        <v>177.9</v>
      </c>
      <c r="H57">
        <v>1938</v>
      </c>
      <c r="I57">
        <v>6.5</v>
      </c>
      <c r="J57" t="s">
        <v>748</v>
      </c>
      <c r="K57">
        <v>3</v>
      </c>
    </row>
    <row r="58" spans="1:11" x14ac:dyDescent="0.25">
      <c r="A58" t="s">
        <v>580</v>
      </c>
      <c r="B58" s="135">
        <v>50</v>
      </c>
      <c r="C58" s="137" t="s">
        <v>356</v>
      </c>
      <c r="D58">
        <v>8.6999999999999993</v>
      </c>
      <c r="E58">
        <v>17.2</v>
      </c>
      <c r="F58">
        <v>0.31</v>
      </c>
      <c r="G58">
        <v>199.9</v>
      </c>
      <c r="H58">
        <v>2207</v>
      </c>
      <c r="I58">
        <v>7</v>
      </c>
      <c r="J58" t="s">
        <v>748</v>
      </c>
      <c r="K58">
        <v>3</v>
      </c>
    </row>
    <row r="59" spans="1:11" x14ac:dyDescent="0.25">
      <c r="A59" t="s">
        <v>581</v>
      </c>
      <c r="B59" s="135">
        <v>55</v>
      </c>
      <c r="C59" s="137" t="s">
        <v>356</v>
      </c>
      <c r="D59">
        <v>8.6999999999999993</v>
      </c>
      <c r="E59">
        <v>17.7</v>
      </c>
      <c r="F59">
        <v>0.31</v>
      </c>
      <c r="G59">
        <v>221.8</v>
      </c>
      <c r="H59">
        <v>2600</v>
      </c>
      <c r="I59">
        <v>7.5</v>
      </c>
      <c r="J59" t="s">
        <v>748</v>
      </c>
      <c r="K59">
        <v>4</v>
      </c>
    </row>
    <row r="60" spans="1:11" x14ac:dyDescent="0.25">
      <c r="A60" t="s">
        <v>582</v>
      </c>
      <c r="B60" s="135">
        <v>60</v>
      </c>
      <c r="C60" s="137" t="s">
        <v>356</v>
      </c>
      <c r="D60">
        <v>8.6999999999999993</v>
      </c>
      <c r="E60">
        <v>18.7</v>
      </c>
      <c r="F60">
        <v>0.31</v>
      </c>
      <c r="G60">
        <v>243.7</v>
      </c>
      <c r="H60">
        <v>2893</v>
      </c>
      <c r="I60">
        <v>8</v>
      </c>
      <c r="J60" t="s">
        <v>748</v>
      </c>
      <c r="K60">
        <v>4</v>
      </c>
    </row>
    <row r="61" spans="1:11" x14ac:dyDescent="0.25">
      <c r="A61" t="s">
        <v>583</v>
      </c>
      <c r="B61" s="135">
        <v>65</v>
      </c>
      <c r="C61" s="137" t="s">
        <v>356</v>
      </c>
      <c r="D61">
        <v>8.6999999999999993</v>
      </c>
      <c r="E61">
        <v>19.600000000000001</v>
      </c>
      <c r="F61">
        <v>0.31</v>
      </c>
      <c r="G61">
        <v>265.7</v>
      </c>
      <c r="H61">
        <v>3200</v>
      </c>
      <c r="I61">
        <v>8.5</v>
      </c>
      <c r="J61" t="s">
        <v>748</v>
      </c>
      <c r="K61">
        <v>4</v>
      </c>
    </row>
  </sheetData>
  <sortState ref="A3:K67">
    <sortCondition ref="C3:C67"/>
    <sortCondition ref="B3:B67"/>
  </sortState>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361"/>
  <sheetViews>
    <sheetView topLeftCell="A22" workbookViewId="0">
      <selection activeCell="B2" sqref="B2"/>
    </sheetView>
  </sheetViews>
  <sheetFormatPr defaultRowHeight="15" x14ac:dyDescent="0.25"/>
  <cols>
    <col min="2" max="2" width="22.5703125" style="27" customWidth="1"/>
    <col min="4" max="4" width="11" customWidth="1"/>
  </cols>
  <sheetData>
    <row r="1" spans="1:5" ht="30" x14ac:dyDescent="0.25">
      <c r="B1" s="3" t="s">
        <v>797</v>
      </c>
      <c r="C1" s="3" t="s">
        <v>798</v>
      </c>
      <c r="D1" s="204" t="s">
        <v>799</v>
      </c>
      <c r="E1" t="s">
        <v>800</v>
      </c>
    </row>
    <row r="2" spans="1:5" x14ac:dyDescent="0.25">
      <c r="A2">
        <v>841</v>
      </c>
      <c r="B2" s="27" t="s">
        <v>1197</v>
      </c>
      <c r="C2" s="205" t="s">
        <v>1198</v>
      </c>
      <c r="D2" s="205" t="s">
        <v>1129</v>
      </c>
      <c r="E2">
        <v>5.9899999999999997E-3</v>
      </c>
    </row>
    <row r="3" spans="1:5" x14ac:dyDescent="0.25">
      <c r="A3">
        <v>847</v>
      </c>
      <c r="B3" s="27" t="s">
        <v>1209</v>
      </c>
      <c r="C3" s="205" t="s">
        <v>1210</v>
      </c>
      <c r="D3" s="205" t="s">
        <v>1129</v>
      </c>
      <c r="E3">
        <v>1.7000000000000001E-2</v>
      </c>
    </row>
    <row r="4" spans="1:5" x14ac:dyDescent="0.25">
      <c r="A4">
        <v>842</v>
      </c>
      <c r="B4" s="27" t="s">
        <v>1199</v>
      </c>
      <c r="C4" s="205" t="s">
        <v>1200</v>
      </c>
      <c r="D4" s="205" t="s">
        <v>1129</v>
      </c>
      <c r="E4">
        <v>7.5599999999999999E-3</v>
      </c>
    </row>
    <row r="5" spans="1:5" x14ac:dyDescent="0.25">
      <c r="A5">
        <v>843</v>
      </c>
      <c r="B5" s="27" t="s">
        <v>1201</v>
      </c>
      <c r="C5" s="205" t="s">
        <v>1202</v>
      </c>
      <c r="D5" s="205" t="s">
        <v>1129</v>
      </c>
      <c r="E5">
        <v>9.5399999999999999E-3</v>
      </c>
    </row>
    <row r="6" spans="1:5" x14ac:dyDescent="0.25">
      <c r="A6">
        <v>846</v>
      </c>
      <c r="B6" s="27" t="s">
        <v>1207</v>
      </c>
      <c r="C6" s="205" t="s">
        <v>1208</v>
      </c>
      <c r="D6" s="205" t="s">
        <v>1129</v>
      </c>
      <c r="E6">
        <v>1.52E-2</v>
      </c>
    </row>
    <row r="7" spans="1:5" x14ac:dyDescent="0.25">
      <c r="A7">
        <v>845</v>
      </c>
      <c r="B7" s="27" t="s">
        <v>1205</v>
      </c>
      <c r="C7" s="205" t="s">
        <v>1206</v>
      </c>
      <c r="D7" s="205" t="s">
        <v>1129</v>
      </c>
      <c r="E7">
        <v>1.35E-2</v>
      </c>
    </row>
    <row r="8" spans="1:5" x14ac:dyDescent="0.25">
      <c r="A8">
        <v>719</v>
      </c>
      <c r="B8" s="27" t="s">
        <v>1170</v>
      </c>
      <c r="C8" s="205" t="s">
        <v>837</v>
      </c>
      <c r="D8" s="205" t="s">
        <v>1153</v>
      </c>
      <c r="E8">
        <v>3.2800000000000003E-2</v>
      </c>
    </row>
    <row r="9" spans="1:5" x14ac:dyDescent="0.25">
      <c r="A9">
        <v>695</v>
      </c>
      <c r="B9" s="27" t="s">
        <v>1134</v>
      </c>
      <c r="C9" s="205" t="s">
        <v>40</v>
      </c>
      <c r="D9" s="205" t="s">
        <v>1129</v>
      </c>
      <c r="E9">
        <v>1.2500000000000001E-2</v>
      </c>
    </row>
    <row r="10" spans="1:5" x14ac:dyDescent="0.25">
      <c r="A10">
        <v>628</v>
      </c>
      <c r="B10" s="27" t="s">
        <v>1123</v>
      </c>
      <c r="C10" s="205" t="s">
        <v>994</v>
      </c>
      <c r="D10" s="205" t="s">
        <v>995</v>
      </c>
      <c r="E10">
        <v>0.05</v>
      </c>
    </row>
    <row r="11" spans="1:5" x14ac:dyDescent="0.25">
      <c r="A11">
        <v>270</v>
      </c>
      <c r="B11" s="27" t="s">
        <v>993</v>
      </c>
      <c r="C11" s="205" t="s">
        <v>994</v>
      </c>
      <c r="D11" s="205" t="s">
        <v>995</v>
      </c>
      <c r="E11">
        <v>0.05</v>
      </c>
    </row>
    <row r="12" spans="1:5" x14ac:dyDescent="0.25">
      <c r="A12">
        <v>521</v>
      </c>
      <c r="B12" s="27" t="s">
        <v>1077</v>
      </c>
      <c r="C12" s="205" t="s">
        <v>858</v>
      </c>
      <c r="D12" s="205" t="s">
        <v>53</v>
      </c>
      <c r="E12">
        <v>3.6900000000000002E-2</v>
      </c>
    </row>
    <row r="13" spans="1:5" x14ac:dyDescent="0.25">
      <c r="A13">
        <v>1085</v>
      </c>
      <c r="B13" s="27" t="s">
        <v>1267</v>
      </c>
      <c r="C13" s="205" t="s">
        <v>753</v>
      </c>
      <c r="D13" s="205" t="s">
        <v>1038</v>
      </c>
      <c r="E13">
        <v>4.02E-2</v>
      </c>
    </row>
    <row r="14" spans="1:5" x14ac:dyDescent="0.25">
      <c r="A14">
        <v>166</v>
      </c>
      <c r="B14" s="27" t="s">
        <v>909</v>
      </c>
      <c r="C14" s="205" t="s">
        <v>858</v>
      </c>
      <c r="D14" s="205" t="s">
        <v>53</v>
      </c>
      <c r="E14">
        <v>3.6900000000000002E-2</v>
      </c>
    </row>
    <row r="15" spans="1:5" x14ac:dyDescent="0.25">
      <c r="A15">
        <v>844</v>
      </c>
      <c r="B15" s="27" t="s">
        <v>1203</v>
      </c>
      <c r="C15" s="205" t="s">
        <v>1204</v>
      </c>
      <c r="D15" s="205" t="s">
        <v>1129</v>
      </c>
      <c r="E15">
        <v>1.2E-2</v>
      </c>
    </row>
    <row r="16" spans="1:5" x14ac:dyDescent="0.25">
      <c r="A16">
        <v>83</v>
      </c>
      <c r="B16" s="27" t="s">
        <v>865</v>
      </c>
      <c r="C16" s="205" t="s">
        <v>864</v>
      </c>
      <c r="D16" s="205" t="s">
        <v>87</v>
      </c>
      <c r="E16">
        <v>4.4499999999999998E-2</v>
      </c>
    </row>
    <row r="17" spans="1:5" x14ac:dyDescent="0.25">
      <c r="A17">
        <v>359</v>
      </c>
      <c r="B17" s="27" t="s">
        <v>1042</v>
      </c>
      <c r="C17" s="205" t="s">
        <v>1043</v>
      </c>
      <c r="D17" s="205" t="s">
        <v>87</v>
      </c>
      <c r="E17">
        <v>4.4499999999999998E-2</v>
      </c>
    </row>
    <row r="18" spans="1:5" x14ac:dyDescent="0.25">
      <c r="A18">
        <v>528</v>
      </c>
      <c r="B18" s="27" t="s">
        <v>1084</v>
      </c>
      <c r="C18" s="205" t="s">
        <v>864</v>
      </c>
      <c r="D18" s="205" t="s">
        <v>919</v>
      </c>
      <c r="E18">
        <v>4.0300000000000002E-2</v>
      </c>
    </row>
    <row r="19" spans="1:5" x14ac:dyDescent="0.25">
      <c r="A19">
        <v>1092</v>
      </c>
      <c r="B19" s="27" t="s">
        <v>1274</v>
      </c>
      <c r="C19" s="205" t="s">
        <v>1129</v>
      </c>
      <c r="D19" s="205" t="s">
        <v>1043</v>
      </c>
      <c r="E19">
        <v>4.36E-2</v>
      </c>
    </row>
    <row r="20" spans="1:5" x14ac:dyDescent="0.25">
      <c r="A20">
        <v>173</v>
      </c>
      <c r="B20" s="27" t="s">
        <v>918</v>
      </c>
      <c r="C20" s="205" t="s">
        <v>864</v>
      </c>
      <c r="D20" s="205" t="s">
        <v>919</v>
      </c>
      <c r="E20">
        <v>4.0300000000000002E-2</v>
      </c>
    </row>
    <row r="21" spans="1:5" x14ac:dyDescent="0.25">
      <c r="A21">
        <v>1064</v>
      </c>
      <c r="B21" s="27" t="s">
        <v>1246</v>
      </c>
      <c r="C21" s="205" t="s">
        <v>753</v>
      </c>
      <c r="D21" s="205" t="s">
        <v>819</v>
      </c>
      <c r="E21">
        <v>2.7400000000000001E-2</v>
      </c>
    </row>
    <row r="22" spans="1:5" x14ac:dyDescent="0.25">
      <c r="A22">
        <v>725</v>
      </c>
      <c r="B22" s="27" t="s">
        <v>1177</v>
      </c>
      <c r="C22" s="205" t="s">
        <v>855</v>
      </c>
      <c r="D22" s="205" t="s">
        <v>1153</v>
      </c>
      <c r="E22">
        <v>3.7400000000000003E-2</v>
      </c>
    </row>
    <row r="23" spans="1:5" x14ac:dyDescent="0.25">
      <c r="A23">
        <v>93</v>
      </c>
      <c r="B23" s="27" t="s">
        <v>880</v>
      </c>
      <c r="C23" s="205" t="s">
        <v>881</v>
      </c>
      <c r="D23" s="205" t="s">
        <v>110</v>
      </c>
      <c r="E23">
        <v>5.8799999999999998E-2</v>
      </c>
    </row>
    <row r="24" spans="1:5" x14ac:dyDescent="0.25">
      <c r="A24">
        <v>368</v>
      </c>
      <c r="B24" s="27" t="s">
        <v>1055</v>
      </c>
      <c r="C24" s="205" t="s">
        <v>1056</v>
      </c>
      <c r="D24" s="205" t="s">
        <v>110</v>
      </c>
      <c r="E24">
        <v>5.8799999999999998E-2</v>
      </c>
    </row>
    <row r="25" spans="1:5" x14ac:dyDescent="0.25">
      <c r="A25">
        <v>537</v>
      </c>
      <c r="B25" s="27" t="s">
        <v>1093</v>
      </c>
      <c r="C25" s="205" t="s">
        <v>881</v>
      </c>
      <c r="D25" s="205" t="s">
        <v>933</v>
      </c>
      <c r="E25">
        <v>5.3800000000000001E-2</v>
      </c>
    </row>
    <row r="26" spans="1:5" x14ac:dyDescent="0.25">
      <c r="A26">
        <v>1107</v>
      </c>
      <c r="B26" s="27" t="s">
        <v>1290</v>
      </c>
      <c r="C26" s="205" t="s">
        <v>1288</v>
      </c>
      <c r="D26" s="205" t="s">
        <v>1056</v>
      </c>
      <c r="E26">
        <v>5.7000000000000002E-2</v>
      </c>
    </row>
    <row r="27" spans="1:5" x14ac:dyDescent="0.25">
      <c r="A27">
        <v>182</v>
      </c>
      <c r="B27" s="27" t="s">
        <v>932</v>
      </c>
      <c r="C27" s="205" t="s">
        <v>881</v>
      </c>
      <c r="D27" s="205" t="s">
        <v>933</v>
      </c>
      <c r="E27">
        <v>5.3800000000000001E-2</v>
      </c>
    </row>
    <row r="28" spans="1:5" x14ac:dyDescent="0.25">
      <c r="A28">
        <v>737</v>
      </c>
      <c r="B28" s="27" t="s">
        <v>1195</v>
      </c>
      <c r="C28" s="205" t="s">
        <v>1196</v>
      </c>
      <c r="D28" s="205" t="s">
        <v>1194</v>
      </c>
      <c r="E28">
        <v>6.9699999999999998E-2</v>
      </c>
    </row>
    <row r="29" spans="1:5" x14ac:dyDescent="0.25">
      <c r="A29">
        <v>78</v>
      </c>
      <c r="B29" s="27" t="s">
        <v>857</v>
      </c>
      <c r="C29" s="205" t="s">
        <v>858</v>
      </c>
      <c r="D29" s="205" t="s">
        <v>87</v>
      </c>
      <c r="E29">
        <v>4.1599999999999998E-2</v>
      </c>
    </row>
    <row r="30" spans="1:5" x14ac:dyDescent="0.25">
      <c r="A30">
        <v>355</v>
      </c>
      <c r="B30" s="27" t="s">
        <v>1037</v>
      </c>
      <c r="C30" s="205" t="s">
        <v>1038</v>
      </c>
      <c r="D30" s="205" t="s">
        <v>87</v>
      </c>
      <c r="E30">
        <v>4.1599999999999998E-2</v>
      </c>
    </row>
    <row r="31" spans="1:5" x14ac:dyDescent="0.25">
      <c r="A31">
        <v>522</v>
      </c>
      <c r="B31" s="27" t="s">
        <v>1078</v>
      </c>
      <c r="C31" s="205" t="s">
        <v>858</v>
      </c>
      <c r="D31" s="205" t="s">
        <v>911</v>
      </c>
      <c r="E31">
        <v>3.7600000000000001E-2</v>
      </c>
    </row>
    <row r="32" spans="1:5" x14ac:dyDescent="0.25">
      <c r="A32">
        <v>1086</v>
      </c>
      <c r="B32" s="27" t="s">
        <v>1268</v>
      </c>
      <c r="C32" s="205" t="s">
        <v>1129</v>
      </c>
      <c r="D32" s="205" t="s">
        <v>1038</v>
      </c>
      <c r="E32">
        <v>4.1000000000000002E-2</v>
      </c>
    </row>
    <row r="33" spans="1:5" x14ac:dyDescent="0.25">
      <c r="A33">
        <v>167</v>
      </c>
      <c r="B33" s="27" t="s">
        <v>910</v>
      </c>
      <c r="C33" s="205" t="s">
        <v>858</v>
      </c>
      <c r="D33" s="205" t="s">
        <v>911</v>
      </c>
      <c r="E33">
        <v>3.7600000000000001E-2</v>
      </c>
    </row>
    <row r="34" spans="1:5" x14ac:dyDescent="0.25">
      <c r="A34">
        <v>87</v>
      </c>
      <c r="B34" s="27" t="s">
        <v>870</v>
      </c>
      <c r="C34" s="205" t="s">
        <v>871</v>
      </c>
      <c r="D34" s="205" t="s">
        <v>87</v>
      </c>
      <c r="E34">
        <v>4.7199999999999999E-2</v>
      </c>
    </row>
    <row r="35" spans="1:5" x14ac:dyDescent="0.25">
      <c r="A35">
        <v>363</v>
      </c>
      <c r="B35" s="27" t="s">
        <v>1048</v>
      </c>
      <c r="C35" s="205" t="s">
        <v>1047</v>
      </c>
      <c r="D35" s="205" t="s">
        <v>87</v>
      </c>
      <c r="E35">
        <v>4.7199999999999999E-2</v>
      </c>
    </row>
    <row r="36" spans="1:5" x14ac:dyDescent="0.25">
      <c r="A36">
        <v>532</v>
      </c>
      <c r="B36" s="27" t="s">
        <v>1088</v>
      </c>
      <c r="C36" s="205" t="s">
        <v>871</v>
      </c>
      <c r="D36" s="205" t="s">
        <v>925</v>
      </c>
      <c r="E36">
        <v>4.2700000000000002E-2</v>
      </c>
    </row>
    <row r="37" spans="1:5" x14ac:dyDescent="0.25">
      <c r="A37">
        <v>1099</v>
      </c>
      <c r="B37" s="27" t="s">
        <v>1281</v>
      </c>
      <c r="C37" s="205" t="s">
        <v>1129</v>
      </c>
      <c r="D37" s="205" t="s">
        <v>1047</v>
      </c>
      <c r="E37">
        <v>4.6100000000000002E-2</v>
      </c>
    </row>
    <row r="38" spans="1:5" x14ac:dyDescent="0.25">
      <c r="A38">
        <v>177</v>
      </c>
      <c r="B38" s="27" t="s">
        <v>924</v>
      </c>
      <c r="C38" s="205" t="s">
        <v>871</v>
      </c>
      <c r="D38" s="205" t="s">
        <v>925</v>
      </c>
      <c r="E38">
        <v>4.2700000000000002E-2</v>
      </c>
    </row>
    <row r="39" spans="1:5" x14ac:dyDescent="0.25">
      <c r="A39">
        <v>80</v>
      </c>
      <c r="B39" s="27" t="s">
        <v>860</v>
      </c>
      <c r="C39" s="205" t="s">
        <v>861</v>
      </c>
      <c r="D39" s="205" t="s">
        <v>87</v>
      </c>
      <c r="E39">
        <v>4.3099999999999999E-2</v>
      </c>
    </row>
    <row r="40" spans="1:5" x14ac:dyDescent="0.25">
      <c r="A40">
        <v>357</v>
      </c>
      <c r="B40" s="27" t="s">
        <v>1040</v>
      </c>
      <c r="C40" s="205" t="s">
        <v>861</v>
      </c>
      <c r="D40" s="205" t="s">
        <v>87</v>
      </c>
      <c r="E40">
        <v>4.3099999999999999E-2</v>
      </c>
    </row>
    <row r="41" spans="1:5" x14ac:dyDescent="0.25">
      <c r="A41">
        <v>525</v>
      </c>
      <c r="B41" s="27" t="s">
        <v>1081</v>
      </c>
      <c r="C41" s="205" t="s">
        <v>861</v>
      </c>
      <c r="D41" s="205" t="s">
        <v>911</v>
      </c>
      <c r="E41">
        <v>3.9E-2</v>
      </c>
    </row>
    <row r="42" spans="1:5" x14ac:dyDescent="0.25">
      <c r="A42">
        <v>1089</v>
      </c>
      <c r="B42" s="27" t="s">
        <v>1271</v>
      </c>
      <c r="C42" s="205" t="s">
        <v>1129</v>
      </c>
      <c r="D42" s="205" t="s">
        <v>861</v>
      </c>
      <c r="E42">
        <v>4.2299999999999997E-2</v>
      </c>
    </row>
    <row r="43" spans="1:5" x14ac:dyDescent="0.25">
      <c r="A43">
        <v>170</v>
      </c>
      <c r="B43" s="27" t="s">
        <v>915</v>
      </c>
      <c r="C43" s="205" t="s">
        <v>861</v>
      </c>
      <c r="D43" s="205" t="s">
        <v>911</v>
      </c>
      <c r="E43">
        <v>3.9E-2</v>
      </c>
    </row>
    <row r="44" spans="1:5" x14ac:dyDescent="0.25">
      <c r="A44">
        <v>848</v>
      </c>
      <c r="B44" s="27" t="s">
        <v>1211</v>
      </c>
      <c r="C44" s="205" t="s">
        <v>1212</v>
      </c>
      <c r="D44" s="205" t="s">
        <v>1140</v>
      </c>
      <c r="E44">
        <v>2.0199999999999999E-2</v>
      </c>
    </row>
    <row r="45" spans="1:5" x14ac:dyDescent="0.25">
      <c r="A45">
        <v>850</v>
      </c>
      <c r="B45" s="27" t="s">
        <v>1215</v>
      </c>
      <c r="C45" s="205" t="s">
        <v>1216</v>
      </c>
      <c r="D45" s="205" t="s">
        <v>1140</v>
      </c>
      <c r="E45">
        <v>2.47E-2</v>
      </c>
    </row>
    <row r="46" spans="1:5" x14ac:dyDescent="0.25">
      <c r="A46">
        <v>600</v>
      </c>
      <c r="B46" s="27" t="s">
        <v>1095</v>
      </c>
      <c r="C46" s="205" t="s">
        <v>937</v>
      </c>
      <c r="D46" s="205" t="s">
        <v>848</v>
      </c>
      <c r="E46">
        <v>3.04E-2</v>
      </c>
    </row>
    <row r="47" spans="1:5" x14ac:dyDescent="0.25">
      <c r="A47">
        <v>242</v>
      </c>
      <c r="B47" s="27" t="s">
        <v>936</v>
      </c>
      <c r="C47" s="205" t="s">
        <v>937</v>
      </c>
      <c r="D47" s="205" t="s">
        <v>848</v>
      </c>
      <c r="E47">
        <v>2.8799999999999999E-2</v>
      </c>
    </row>
    <row r="48" spans="1:5" x14ac:dyDescent="0.25">
      <c r="A48">
        <v>70</v>
      </c>
      <c r="B48" s="27" t="s">
        <v>845</v>
      </c>
      <c r="C48" s="205" t="s">
        <v>844</v>
      </c>
      <c r="D48" s="205" t="s">
        <v>89</v>
      </c>
      <c r="E48">
        <v>3.9199999999999999E-2</v>
      </c>
    </row>
    <row r="49" spans="1:5" x14ac:dyDescent="0.25">
      <c r="A49">
        <v>350</v>
      </c>
      <c r="B49" s="27" t="s">
        <v>1031</v>
      </c>
      <c r="C49" s="205" t="s">
        <v>1030</v>
      </c>
      <c r="D49" s="205" t="s">
        <v>89</v>
      </c>
      <c r="E49">
        <v>3.9199999999999999E-2</v>
      </c>
    </row>
    <row r="50" spans="1:5" x14ac:dyDescent="0.25">
      <c r="A50">
        <v>705</v>
      </c>
      <c r="B50" s="27" t="s">
        <v>1148</v>
      </c>
      <c r="C50" s="205" t="s">
        <v>809</v>
      </c>
      <c r="D50" s="205" t="s">
        <v>1140</v>
      </c>
      <c r="E50">
        <v>2.2800000000000001E-2</v>
      </c>
    </row>
    <row r="51" spans="1:5" x14ac:dyDescent="0.25">
      <c r="A51">
        <v>849</v>
      </c>
      <c r="B51" s="27" t="s">
        <v>1213</v>
      </c>
      <c r="C51" s="205" t="s">
        <v>1214</v>
      </c>
      <c r="D51" s="205" t="s">
        <v>1140</v>
      </c>
      <c r="E51">
        <v>2.2700000000000001E-2</v>
      </c>
    </row>
    <row r="52" spans="1:5" x14ac:dyDescent="0.25">
      <c r="A52">
        <v>75</v>
      </c>
      <c r="B52" s="27" t="s">
        <v>853</v>
      </c>
      <c r="C52" s="205" t="s">
        <v>847</v>
      </c>
      <c r="D52" s="205" t="s">
        <v>89</v>
      </c>
      <c r="E52">
        <v>4.0399999999999998E-2</v>
      </c>
    </row>
    <row r="53" spans="1:5" x14ac:dyDescent="0.25">
      <c r="A53">
        <v>352</v>
      </c>
      <c r="B53" s="27" t="s">
        <v>1034</v>
      </c>
      <c r="C53" s="205" t="s">
        <v>1033</v>
      </c>
      <c r="D53" s="205" t="s">
        <v>89</v>
      </c>
      <c r="E53">
        <v>4.0399999999999998E-2</v>
      </c>
    </row>
    <row r="54" spans="1:5" x14ac:dyDescent="0.25">
      <c r="A54">
        <v>517</v>
      </c>
      <c r="B54" s="27" t="s">
        <v>1073</v>
      </c>
      <c r="C54" s="205" t="s">
        <v>847</v>
      </c>
      <c r="D54" s="205" t="s">
        <v>848</v>
      </c>
      <c r="E54">
        <v>3.6200000000000003E-2</v>
      </c>
    </row>
    <row r="55" spans="1:5" x14ac:dyDescent="0.25">
      <c r="A55">
        <v>1081</v>
      </c>
      <c r="B55" s="27" t="s">
        <v>1263</v>
      </c>
      <c r="C55" s="205" t="s">
        <v>1244</v>
      </c>
      <c r="D55" s="205" t="s">
        <v>1033</v>
      </c>
      <c r="E55">
        <v>3.8399999999999997E-2</v>
      </c>
    </row>
    <row r="56" spans="1:5" x14ac:dyDescent="0.25">
      <c r="A56">
        <v>162</v>
      </c>
      <c r="B56" s="27" t="s">
        <v>904</v>
      </c>
      <c r="C56" s="205" t="s">
        <v>847</v>
      </c>
      <c r="D56" s="205" t="s">
        <v>848</v>
      </c>
      <c r="E56">
        <v>3.6200000000000003E-2</v>
      </c>
    </row>
    <row r="57" spans="1:5" x14ac:dyDescent="0.25">
      <c r="A57">
        <v>731</v>
      </c>
      <c r="B57" s="27" t="s">
        <v>1183</v>
      </c>
      <c r="C57" s="205" t="s">
        <v>871</v>
      </c>
      <c r="D57" s="205" t="s">
        <v>1167</v>
      </c>
      <c r="E57">
        <v>4.4400000000000002E-2</v>
      </c>
    </row>
    <row r="58" spans="1:5" x14ac:dyDescent="0.25">
      <c r="A58">
        <v>612</v>
      </c>
      <c r="B58" s="27" t="s">
        <v>1107</v>
      </c>
      <c r="C58" s="205" t="s">
        <v>864</v>
      </c>
      <c r="D58" s="205" t="s">
        <v>53</v>
      </c>
      <c r="E58">
        <v>3.9399999999999998E-2</v>
      </c>
    </row>
    <row r="59" spans="1:5" x14ac:dyDescent="0.25">
      <c r="A59">
        <v>254</v>
      </c>
      <c r="B59" s="27" t="s">
        <v>961</v>
      </c>
      <c r="C59" s="205" t="s">
        <v>864</v>
      </c>
      <c r="D59" s="205" t="s">
        <v>53</v>
      </c>
      <c r="E59">
        <v>3.9399999999999998E-2</v>
      </c>
    </row>
    <row r="60" spans="1:5" x14ac:dyDescent="0.25">
      <c r="A60">
        <v>609</v>
      </c>
      <c r="B60" s="27" t="s">
        <v>1104</v>
      </c>
      <c r="C60" s="205" t="s">
        <v>955</v>
      </c>
      <c r="D60" s="205" t="s">
        <v>53</v>
      </c>
      <c r="E60">
        <v>3.78E-2</v>
      </c>
    </row>
    <row r="61" spans="1:5" x14ac:dyDescent="0.25">
      <c r="A61">
        <v>251</v>
      </c>
      <c r="B61" s="27" t="s">
        <v>954</v>
      </c>
      <c r="C61" s="205" t="s">
        <v>955</v>
      </c>
      <c r="D61" s="205" t="s">
        <v>53</v>
      </c>
      <c r="E61">
        <v>3.78E-2</v>
      </c>
    </row>
    <row r="62" spans="1:5" x14ac:dyDescent="0.25">
      <c r="A62">
        <v>43</v>
      </c>
      <c r="B62" s="27" t="s">
        <v>808</v>
      </c>
      <c r="C62" s="205" t="s">
        <v>809</v>
      </c>
      <c r="D62" s="205" t="s">
        <v>46</v>
      </c>
      <c r="E62">
        <v>2.4E-2</v>
      </c>
    </row>
    <row r="63" spans="1:5" x14ac:dyDescent="0.25">
      <c r="A63">
        <v>91</v>
      </c>
      <c r="B63" s="27" t="s">
        <v>876</v>
      </c>
      <c r="C63" s="205" t="s">
        <v>877</v>
      </c>
      <c r="D63" s="205" t="s">
        <v>110</v>
      </c>
      <c r="E63">
        <v>5.3400000000000003E-2</v>
      </c>
    </row>
    <row r="64" spans="1:5" x14ac:dyDescent="0.25">
      <c r="A64">
        <v>367</v>
      </c>
      <c r="B64" s="27" t="s">
        <v>1053</v>
      </c>
      <c r="C64" s="205" t="s">
        <v>1054</v>
      </c>
      <c r="D64" s="205" t="s">
        <v>110</v>
      </c>
      <c r="E64">
        <v>5.3400000000000003E-2</v>
      </c>
    </row>
    <row r="65" spans="1:5" x14ac:dyDescent="0.25">
      <c r="A65">
        <v>536</v>
      </c>
      <c r="B65" s="27" t="s">
        <v>1092</v>
      </c>
      <c r="C65" s="205" t="s">
        <v>877</v>
      </c>
      <c r="D65" s="205" t="s">
        <v>931</v>
      </c>
      <c r="E65">
        <v>4.82E-2</v>
      </c>
    </row>
    <row r="66" spans="1:5" x14ac:dyDescent="0.25">
      <c r="A66">
        <v>1105</v>
      </c>
      <c r="B66" s="27" t="s">
        <v>1287</v>
      </c>
      <c r="C66" s="205" t="s">
        <v>1288</v>
      </c>
      <c r="D66" s="205" t="s">
        <v>1054</v>
      </c>
      <c r="E66">
        <v>5.1900000000000002E-2</v>
      </c>
    </row>
    <row r="67" spans="1:5" x14ac:dyDescent="0.25">
      <c r="A67">
        <v>181</v>
      </c>
      <c r="B67" s="27" t="s">
        <v>930</v>
      </c>
      <c r="C67" s="205" t="s">
        <v>877</v>
      </c>
      <c r="D67" s="205" t="s">
        <v>931</v>
      </c>
      <c r="E67">
        <v>4.82E-2</v>
      </c>
    </row>
    <row r="68" spans="1:5" x14ac:dyDescent="0.25">
      <c r="A68">
        <v>1106</v>
      </c>
      <c r="B68" s="27" t="s">
        <v>1289</v>
      </c>
      <c r="C68" s="205" t="s">
        <v>753</v>
      </c>
      <c r="D68" s="205" t="s">
        <v>1056</v>
      </c>
      <c r="E68">
        <v>5.7299999999999997E-2</v>
      </c>
    </row>
    <row r="69" spans="1:5" x14ac:dyDescent="0.25">
      <c r="A69">
        <v>721</v>
      </c>
      <c r="B69" s="27" t="s">
        <v>1172</v>
      </c>
      <c r="C69" s="205" t="s">
        <v>844</v>
      </c>
      <c r="D69" s="205" t="s">
        <v>1153</v>
      </c>
      <c r="E69">
        <v>3.49E-2</v>
      </c>
    </row>
    <row r="70" spans="1:5" x14ac:dyDescent="0.25">
      <c r="A70">
        <v>607</v>
      </c>
      <c r="B70" s="27" t="s">
        <v>1102</v>
      </c>
      <c r="C70" s="205" t="s">
        <v>950</v>
      </c>
      <c r="D70" s="205" t="s">
        <v>908</v>
      </c>
      <c r="E70">
        <v>3.6400000000000002E-2</v>
      </c>
    </row>
    <row r="71" spans="1:5" x14ac:dyDescent="0.25">
      <c r="A71">
        <v>249</v>
      </c>
      <c r="B71" s="27" t="s">
        <v>949</v>
      </c>
      <c r="C71" s="205" t="s">
        <v>950</v>
      </c>
      <c r="D71" s="205" t="s">
        <v>908</v>
      </c>
      <c r="E71">
        <v>3.6400000000000002E-2</v>
      </c>
    </row>
    <row r="72" spans="1:5" x14ac:dyDescent="0.25">
      <c r="A72">
        <v>730</v>
      </c>
      <c r="B72" s="27" t="s">
        <v>1182</v>
      </c>
      <c r="C72" s="205" t="s">
        <v>868</v>
      </c>
      <c r="D72" s="205" t="s">
        <v>1167</v>
      </c>
      <c r="E72">
        <v>4.3099999999999999E-2</v>
      </c>
    </row>
    <row r="73" spans="1:5" x14ac:dyDescent="0.25">
      <c r="A73">
        <v>66</v>
      </c>
      <c r="B73" s="27" t="s">
        <v>840</v>
      </c>
      <c r="C73" s="205" t="s">
        <v>837</v>
      </c>
      <c r="D73" s="205" t="s">
        <v>89</v>
      </c>
      <c r="E73">
        <v>3.6799999999999999E-2</v>
      </c>
    </row>
    <row r="74" spans="1:5" x14ac:dyDescent="0.25">
      <c r="A74">
        <v>346</v>
      </c>
      <c r="B74" s="27" t="s">
        <v>1026</v>
      </c>
      <c r="C74" s="205" t="s">
        <v>1024</v>
      </c>
      <c r="D74" s="205" t="s">
        <v>89</v>
      </c>
      <c r="E74">
        <v>3.6799999999999999E-2</v>
      </c>
    </row>
    <row r="75" spans="1:5" x14ac:dyDescent="0.25">
      <c r="A75">
        <v>513</v>
      </c>
      <c r="B75" s="27" t="s">
        <v>1069</v>
      </c>
      <c r="C75" s="205" t="s">
        <v>837</v>
      </c>
      <c r="D75" s="205" t="s">
        <v>848</v>
      </c>
      <c r="E75">
        <v>3.3099999999999997E-2</v>
      </c>
    </row>
    <row r="76" spans="1:5" x14ac:dyDescent="0.25">
      <c r="A76">
        <v>1077</v>
      </c>
      <c r="B76" s="27" t="s">
        <v>1259</v>
      </c>
      <c r="C76" s="205" t="s">
        <v>1244</v>
      </c>
      <c r="D76" s="205" t="s">
        <v>1024</v>
      </c>
      <c r="E76">
        <v>3.5299999999999998E-2</v>
      </c>
    </row>
    <row r="77" spans="1:5" x14ac:dyDescent="0.25">
      <c r="A77">
        <v>158</v>
      </c>
      <c r="B77" s="27" t="s">
        <v>899</v>
      </c>
      <c r="C77" s="205" t="s">
        <v>837</v>
      </c>
      <c r="D77" s="205" t="s">
        <v>848</v>
      </c>
      <c r="E77">
        <v>3.3099999999999997E-2</v>
      </c>
    </row>
    <row r="78" spans="1:5" x14ac:dyDescent="0.25">
      <c r="A78">
        <v>63</v>
      </c>
      <c r="B78" s="27" t="s">
        <v>836</v>
      </c>
      <c r="C78" s="205" t="s">
        <v>837</v>
      </c>
      <c r="D78" s="205" t="s">
        <v>74</v>
      </c>
      <c r="E78">
        <v>3.3500000000000002E-2</v>
      </c>
    </row>
    <row r="79" spans="1:5" x14ac:dyDescent="0.25">
      <c r="A79">
        <v>732</v>
      </c>
      <c r="B79" s="27" t="s">
        <v>1184</v>
      </c>
      <c r="C79" s="205" t="s">
        <v>874</v>
      </c>
      <c r="D79" s="205" t="s">
        <v>1167</v>
      </c>
      <c r="E79">
        <v>4.6800000000000001E-2</v>
      </c>
    </row>
    <row r="80" spans="1:5" x14ac:dyDescent="0.25">
      <c r="A80">
        <v>71</v>
      </c>
      <c r="B80" s="27" t="s">
        <v>846</v>
      </c>
      <c r="C80" s="205" t="s">
        <v>847</v>
      </c>
      <c r="D80" s="205" t="s">
        <v>848</v>
      </c>
      <c r="E80">
        <v>3.78E-2</v>
      </c>
    </row>
    <row r="81" spans="1:5" x14ac:dyDescent="0.25">
      <c r="A81">
        <v>707</v>
      </c>
      <c r="B81" s="27" t="s">
        <v>1151</v>
      </c>
      <c r="C81" s="205" t="s">
        <v>813</v>
      </c>
      <c r="D81" s="205" t="s">
        <v>1140</v>
      </c>
      <c r="E81">
        <v>2.5000000000000001E-2</v>
      </c>
    </row>
    <row r="82" spans="1:5" x14ac:dyDescent="0.25">
      <c r="A82">
        <v>1051</v>
      </c>
      <c r="B82" s="27" t="s">
        <v>1232</v>
      </c>
      <c r="C82" s="205" t="s">
        <v>753</v>
      </c>
      <c r="D82" s="205" t="s">
        <v>805</v>
      </c>
      <c r="E82">
        <v>2.1700000000000001E-2</v>
      </c>
    </row>
    <row r="83" spans="1:5" x14ac:dyDescent="0.25">
      <c r="A83">
        <v>734</v>
      </c>
      <c r="B83" s="27" t="s">
        <v>1187</v>
      </c>
      <c r="C83" s="205" t="s">
        <v>1188</v>
      </c>
      <c r="D83" s="205" t="s">
        <v>1189</v>
      </c>
      <c r="E83">
        <v>5.2499999999999998E-2</v>
      </c>
    </row>
    <row r="84" spans="1:5" x14ac:dyDescent="0.25">
      <c r="A84">
        <v>65</v>
      </c>
      <c r="B84" s="27" t="s">
        <v>839</v>
      </c>
      <c r="C84" s="205" t="s">
        <v>837</v>
      </c>
      <c r="D84" s="205" t="s">
        <v>56</v>
      </c>
      <c r="E84">
        <v>3.61E-2</v>
      </c>
    </row>
    <row r="85" spans="1:5" x14ac:dyDescent="0.25">
      <c r="A85">
        <v>345</v>
      </c>
      <c r="B85" s="27" t="s">
        <v>1025</v>
      </c>
      <c r="C85" s="205" t="s">
        <v>1024</v>
      </c>
      <c r="D85" s="205" t="s">
        <v>56</v>
      </c>
      <c r="E85">
        <v>3.61E-2</v>
      </c>
    </row>
    <row r="86" spans="1:5" x14ac:dyDescent="0.25">
      <c r="A86">
        <v>629</v>
      </c>
      <c r="B86" s="27" t="s">
        <v>1124</v>
      </c>
      <c r="C86" s="205" t="s">
        <v>997</v>
      </c>
      <c r="D86" s="205" t="s">
        <v>929</v>
      </c>
      <c r="E86">
        <v>5.2299999999999999E-2</v>
      </c>
    </row>
    <row r="87" spans="1:5" x14ac:dyDescent="0.25">
      <c r="A87">
        <v>271</v>
      </c>
      <c r="B87" s="27" t="s">
        <v>996</v>
      </c>
      <c r="C87" s="205" t="s">
        <v>997</v>
      </c>
      <c r="D87" s="205" t="s">
        <v>929</v>
      </c>
      <c r="E87">
        <v>5.2299999999999999E-2</v>
      </c>
    </row>
    <row r="88" spans="1:5" x14ac:dyDescent="0.25">
      <c r="A88">
        <v>77</v>
      </c>
      <c r="B88" s="27" t="s">
        <v>856</v>
      </c>
      <c r="C88" s="205" t="s">
        <v>855</v>
      </c>
      <c r="D88" s="205" t="s">
        <v>89</v>
      </c>
      <c r="E88">
        <v>4.2000000000000003E-2</v>
      </c>
    </row>
    <row r="89" spans="1:5" x14ac:dyDescent="0.25">
      <c r="A89">
        <v>354</v>
      </c>
      <c r="B89" s="27" t="s">
        <v>1036</v>
      </c>
      <c r="C89" s="205" t="s">
        <v>855</v>
      </c>
      <c r="D89" s="205" t="s">
        <v>89</v>
      </c>
      <c r="E89">
        <v>4.2000000000000003E-2</v>
      </c>
    </row>
    <row r="90" spans="1:5" x14ac:dyDescent="0.25">
      <c r="A90">
        <v>520</v>
      </c>
      <c r="B90" s="27" t="s">
        <v>1076</v>
      </c>
      <c r="C90" s="205" t="s">
        <v>855</v>
      </c>
      <c r="D90" s="205" t="s">
        <v>908</v>
      </c>
      <c r="E90">
        <v>3.7699999999999997E-2</v>
      </c>
    </row>
    <row r="91" spans="1:5" x14ac:dyDescent="0.25">
      <c r="A91">
        <v>1084</v>
      </c>
      <c r="B91" s="27" t="s">
        <v>1266</v>
      </c>
      <c r="C91" s="205" t="s">
        <v>1244</v>
      </c>
      <c r="D91" s="205" t="s">
        <v>855</v>
      </c>
      <c r="E91">
        <v>0.04</v>
      </c>
    </row>
    <row r="92" spans="1:5" x14ac:dyDescent="0.25">
      <c r="A92">
        <v>165</v>
      </c>
      <c r="B92" s="27" t="s">
        <v>907</v>
      </c>
      <c r="C92" s="205" t="s">
        <v>855</v>
      </c>
      <c r="D92" s="205" t="s">
        <v>908</v>
      </c>
      <c r="E92">
        <v>3.7699999999999997E-2</v>
      </c>
    </row>
    <row r="93" spans="1:5" x14ac:dyDescent="0.25">
      <c r="A93">
        <v>704</v>
      </c>
      <c r="B93" s="27" t="s">
        <v>1146</v>
      </c>
      <c r="C93" s="205" t="s">
        <v>1147</v>
      </c>
      <c r="D93" s="205" t="s">
        <v>1140</v>
      </c>
      <c r="E93">
        <v>2.1399999999999999E-2</v>
      </c>
    </row>
    <row r="94" spans="1:5" x14ac:dyDescent="0.25">
      <c r="A94">
        <v>710</v>
      </c>
      <c r="B94" s="27" t="s">
        <v>1156</v>
      </c>
      <c r="C94" s="205" t="s">
        <v>819</v>
      </c>
      <c r="D94" s="205" t="s">
        <v>1140</v>
      </c>
      <c r="E94">
        <v>2.7E-2</v>
      </c>
    </row>
    <row r="95" spans="1:5" x14ac:dyDescent="0.25">
      <c r="A95">
        <v>700</v>
      </c>
      <c r="B95" s="27" t="s">
        <v>1141</v>
      </c>
      <c r="C95" s="205" t="s">
        <v>802</v>
      </c>
      <c r="D95" s="205" t="s">
        <v>1129</v>
      </c>
      <c r="E95">
        <v>1.77E-2</v>
      </c>
    </row>
    <row r="96" spans="1:5" x14ac:dyDescent="0.25">
      <c r="A96">
        <v>851</v>
      </c>
      <c r="B96" s="27" t="s">
        <v>1217</v>
      </c>
      <c r="C96" s="205" t="s">
        <v>1218</v>
      </c>
      <c r="D96" s="205" t="s">
        <v>1140</v>
      </c>
      <c r="E96">
        <v>2.7099999999999999E-2</v>
      </c>
    </row>
    <row r="97" spans="1:5" x14ac:dyDescent="0.25">
      <c r="A97">
        <v>85</v>
      </c>
      <c r="B97" s="27" t="s">
        <v>867</v>
      </c>
      <c r="C97" s="205" t="s">
        <v>868</v>
      </c>
      <c r="D97" s="205" t="s">
        <v>87</v>
      </c>
      <c r="E97">
        <v>4.5900000000000003E-2</v>
      </c>
    </row>
    <row r="98" spans="1:5" x14ac:dyDescent="0.25">
      <c r="A98">
        <v>361</v>
      </c>
      <c r="B98" s="27" t="s">
        <v>1045</v>
      </c>
      <c r="C98" s="205" t="s">
        <v>868</v>
      </c>
      <c r="D98" s="205" t="s">
        <v>87</v>
      </c>
      <c r="E98">
        <v>4.5900000000000003E-2</v>
      </c>
    </row>
    <row r="99" spans="1:5" x14ac:dyDescent="0.25">
      <c r="A99">
        <v>530</v>
      </c>
      <c r="B99" s="27" t="s">
        <v>1086</v>
      </c>
      <c r="C99" s="205" t="s">
        <v>868</v>
      </c>
      <c r="D99" s="205" t="s">
        <v>919</v>
      </c>
      <c r="E99">
        <v>4.1500000000000002E-2</v>
      </c>
    </row>
    <row r="100" spans="1:5" x14ac:dyDescent="0.25">
      <c r="A100">
        <v>1095</v>
      </c>
      <c r="B100" s="27" t="s">
        <v>1277</v>
      </c>
      <c r="C100" s="205" t="s">
        <v>1129</v>
      </c>
      <c r="D100" s="205" t="s">
        <v>868</v>
      </c>
      <c r="E100">
        <v>4.4900000000000002E-2</v>
      </c>
    </row>
    <row r="101" spans="1:5" x14ac:dyDescent="0.25">
      <c r="A101">
        <v>175</v>
      </c>
      <c r="B101" s="27" t="s">
        <v>922</v>
      </c>
      <c r="C101" s="205" t="s">
        <v>868</v>
      </c>
      <c r="D101" s="205" t="s">
        <v>919</v>
      </c>
      <c r="E101">
        <v>4.1500000000000002E-2</v>
      </c>
    </row>
    <row r="102" spans="1:5" x14ac:dyDescent="0.25">
      <c r="A102">
        <v>52</v>
      </c>
      <c r="B102" s="27" t="s">
        <v>821</v>
      </c>
      <c r="C102" s="205" t="s">
        <v>819</v>
      </c>
      <c r="D102" s="205" t="s">
        <v>48</v>
      </c>
      <c r="E102">
        <v>3.1300000000000001E-2</v>
      </c>
    </row>
    <row r="103" spans="1:5" x14ac:dyDescent="0.25">
      <c r="A103">
        <v>335</v>
      </c>
      <c r="B103" s="27" t="s">
        <v>1012</v>
      </c>
      <c r="C103" s="205" t="s">
        <v>819</v>
      </c>
      <c r="D103" s="205" t="s">
        <v>48</v>
      </c>
      <c r="E103">
        <v>3.1300000000000001E-2</v>
      </c>
    </row>
    <row r="104" spans="1:5" x14ac:dyDescent="0.25">
      <c r="A104">
        <v>508</v>
      </c>
      <c r="B104" s="27" t="s">
        <v>1064</v>
      </c>
      <c r="C104" s="205" t="s">
        <v>819</v>
      </c>
      <c r="D104" s="205" t="s">
        <v>848</v>
      </c>
      <c r="E104">
        <v>2.86E-2</v>
      </c>
    </row>
    <row r="105" spans="1:5" x14ac:dyDescent="0.25">
      <c r="A105">
        <v>1068</v>
      </c>
      <c r="B105" s="27" t="s">
        <v>1250</v>
      </c>
      <c r="C105" s="205" t="s">
        <v>1231</v>
      </c>
      <c r="D105" s="205" t="s">
        <v>819</v>
      </c>
      <c r="E105">
        <v>3.1099999999999999E-2</v>
      </c>
    </row>
    <row r="106" spans="1:5" x14ac:dyDescent="0.25">
      <c r="A106">
        <v>153</v>
      </c>
      <c r="B106" s="27" t="s">
        <v>893</v>
      </c>
      <c r="C106" s="205" t="s">
        <v>819</v>
      </c>
      <c r="D106" s="205" t="s">
        <v>848</v>
      </c>
      <c r="E106">
        <v>2.86E-2</v>
      </c>
    </row>
    <row r="107" spans="1:5" x14ac:dyDescent="0.25">
      <c r="A107">
        <v>67</v>
      </c>
      <c r="B107" s="27" t="s">
        <v>841</v>
      </c>
      <c r="C107" s="205" t="s">
        <v>837</v>
      </c>
      <c r="D107" s="205" t="s">
        <v>48</v>
      </c>
      <c r="E107">
        <v>3.7499999999999999E-2</v>
      </c>
    </row>
    <row r="108" spans="1:5" x14ac:dyDescent="0.25">
      <c r="A108">
        <v>347</v>
      </c>
      <c r="B108" s="27" t="s">
        <v>1027</v>
      </c>
      <c r="C108" s="205" t="s">
        <v>1024</v>
      </c>
      <c r="D108" s="205" t="s">
        <v>48</v>
      </c>
      <c r="E108">
        <v>3.7499999999999999E-2</v>
      </c>
    </row>
    <row r="109" spans="1:5" x14ac:dyDescent="0.25">
      <c r="A109">
        <v>514</v>
      </c>
      <c r="B109" s="27" t="s">
        <v>1070</v>
      </c>
      <c r="C109" s="205" t="s">
        <v>837</v>
      </c>
      <c r="D109" s="205" t="s">
        <v>848</v>
      </c>
      <c r="E109">
        <v>3.39E-2</v>
      </c>
    </row>
    <row r="110" spans="1:5" x14ac:dyDescent="0.25">
      <c r="A110">
        <v>1078</v>
      </c>
      <c r="B110" s="27" t="s">
        <v>1260</v>
      </c>
      <c r="C110" s="205" t="s">
        <v>1231</v>
      </c>
      <c r="D110" s="205" t="s">
        <v>1024</v>
      </c>
      <c r="E110">
        <v>3.6400000000000002E-2</v>
      </c>
    </row>
    <row r="111" spans="1:5" x14ac:dyDescent="0.25">
      <c r="A111">
        <v>159</v>
      </c>
      <c r="B111" s="27" t="s">
        <v>900</v>
      </c>
      <c r="C111" s="205" t="s">
        <v>837</v>
      </c>
      <c r="D111" s="205" t="s">
        <v>848</v>
      </c>
      <c r="E111">
        <v>3.39E-2</v>
      </c>
    </row>
    <row r="112" spans="1:5" x14ac:dyDescent="0.25">
      <c r="A112">
        <v>53</v>
      </c>
      <c r="B112" s="27" t="s">
        <v>822</v>
      </c>
      <c r="C112" s="205" t="s">
        <v>819</v>
      </c>
      <c r="D112" s="205" t="s">
        <v>53</v>
      </c>
      <c r="E112">
        <v>3.2800000000000003E-2</v>
      </c>
    </row>
    <row r="113" spans="1:5" x14ac:dyDescent="0.25">
      <c r="A113">
        <v>336</v>
      </c>
      <c r="B113" s="27" t="s">
        <v>1013</v>
      </c>
      <c r="C113" s="205" t="s">
        <v>819</v>
      </c>
      <c r="D113" s="205" t="s">
        <v>53</v>
      </c>
      <c r="E113">
        <v>3.2800000000000003E-2</v>
      </c>
    </row>
    <row r="114" spans="1:5" x14ac:dyDescent="0.25">
      <c r="A114">
        <v>59</v>
      </c>
      <c r="B114" s="27" t="s">
        <v>830</v>
      </c>
      <c r="C114" s="205" t="s">
        <v>826</v>
      </c>
      <c r="D114" s="205" t="s">
        <v>71</v>
      </c>
      <c r="E114">
        <v>3.5099999999999999E-2</v>
      </c>
    </row>
    <row r="115" spans="1:5" x14ac:dyDescent="0.25">
      <c r="A115">
        <v>340</v>
      </c>
      <c r="B115" s="27" t="s">
        <v>1019</v>
      </c>
      <c r="C115" s="205" t="s">
        <v>1017</v>
      </c>
      <c r="D115" s="205" t="s">
        <v>71</v>
      </c>
      <c r="E115">
        <v>3.5099999999999999E-2</v>
      </c>
    </row>
    <row r="116" spans="1:5" x14ac:dyDescent="0.25">
      <c r="A116">
        <v>1048</v>
      </c>
      <c r="B116" s="27" t="s">
        <v>1226</v>
      </c>
      <c r="C116" s="205" t="s">
        <v>1129</v>
      </c>
      <c r="D116" s="205" t="s">
        <v>802</v>
      </c>
      <c r="E116">
        <v>1.9900000000000001E-2</v>
      </c>
    </row>
    <row r="117" spans="1:5" x14ac:dyDescent="0.25">
      <c r="A117">
        <v>852</v>
      </c>
      <c r="B117" s="27" t="s">
        <v>1219</v>
      </c>
      <c r="C117" s="205" t="s">
        <v>1220</v>
      </c>
      <c r="D117" s="205" t="s">
        <v>1140</v>
      </c>
      <c r="E117">
        <v>2.92E-2</v>
      </c>
    </row>
    <row r="118" spans="1:5" x14ac:dyDescent="0.25">
      <c r="A118">
        <v>1055</v>
      </c>
      <c r="B118" s="27" t="s">
        <v>1236</v>
      </c>
      <c r="C118" s="205" t="s">
        <v>753</v>
      </c>
      <c r="D118" s="205" t="s">
        <v>809</v>
      </c>
      <c r="E118">
        <v>2.3300000000000001E-2</v>
      </c>
    </row>
    <row r="119" spans="1:5" x14ac:dyDescent="0.25">
      <c r="A119">
        <v>90</v>
      </c>
      <c r="B119" s="27" t="s">
        <v>875</v>
      </c>
      <c r="C119" s="205" t="s">
        <v>874</v>
      </c>
      <c r="D119" s="205" t="s">
        <v>99</v>
      </c>
      <c r="E119">
        <v>5.21E-2</v>
      </c>
    </row>
    <row r="120" spans="1:5" x14ac:dyDescent="0.25">
      <c r="A120">
        <v>366</v>
      </c>
      <c r="B120" s="27" t="s">
        <v>1052</v>
      </c>
      <c r="C120" s="205" t="s">
        <v>1050</v>
      </c>
      <c r="D120" s="205" t="s">
        <v>99</v>
      </c>
      <c r="E120">
        <v>5.21E-2</v>
      </c>
    </row>
    <row r="121" spans="1:5" x14ac:dyDescent="0.25">
      <c r="A121">
        <v>535</v>
      </c>
      <c r="B121" s="27" t="s">
        <v>1091</v>
      </c>
      <c r="C121" s="205" t="s">
        <v>874</v>
      </c>
      <c r="D121" s="205" t="s">
        <v>929</v>
      </c>
      <c r="E121">
        <v>4.7600000000000003E-2</v>
      </c>
    </row>
    <row r="122" spans="1:5" x14ac:dyDescent="0.25">
      <c r="A122">
        <v>1103</v>
      </c>
      <c r="B122" s="27" t="s">
        <v>1285</v>
      </c>
      <c r="C122" s="205" t="s">
        <v>1244</v>
      </c>
      <c r="D122" s="205" t="s">
        <v>1050</v>
      </c>
      <c r="E122">
        <v>5.1200000000000002E-2</v>
      </c>
    </row>
    <row r="123" spans="1:5" x14ac:dyDescent="0.25">
      <c r="A123">
        <v>180</v>
      </c>
      <c r="B123" s="27" t="s">
        <v>928</v>
      </c>
      <c r="C123" s="205" t="s">
        <v>874</v>
      </c>
      <c r="D123" s="205" t="s">
        <v>929</v>
      </c>
      <c r="E123">
        <v>4.7600000000000003E-2</v>
      </c>
    </row>
    <row r="124" spans="1:5" x14ac:dyDescent="0.25">
      <c r="A124">
        <v>79</v>
      </c>
      <c r="B124" s="27" t="s">
        <v>859</v>
      </c>
      <c r="C124" s="205" t="s">
        <v>858</v>
      </c>
      <c r="D124" s="205" t="s">
        <v>99</v>
      </c>
      <c r="E124">
        <v>4.36E-2</v>
      </c>
    </row>
    <row r="125" spans="1:5" x14ac:dyDescent="0.25">
      <c r="A125">
        <v>356</v>
      </c>
      <c r="B125" s="27" t="s">
        <v>1039</v>
      </c>
      <c r="C125" s="205" t="s">
        <v>1038</v>
      </c>
      <c r="D125" s="205" t="s">
        <v>99</v>
      </c>
      <c r="E125">
        <v>4.36E-2</v>
      </c>
    </row>
    <row r="126" spans="1:5" x14ac:dyDescent="0.25">
      <c r="A126">
        <v>523</v>
      </c>
      <c r="B126" s="27" t="s">
        <v>1079</v>
      </c>
      <c r="C126" s="205" t="s">
        <v>858</v>
      </c>
      <c r="D126" s="205" t="s">
        <v>913</v>
      </c>
      <c r="E126">
        <v>3.9899999999999998E-2</v>
      </c>
    </row>
    <row r="127" spans="1:5" x14ac:dyDescent="0.25">
      <c r="A127">
        <v>1087</v>
      </c>
      <c r="B127" s="27" t="s">
        <v>1269</v>
      </c>
      <c r="C127" s="205" t="s">
        <v>1244</v>
      </c>
      <c r="D127" s="205" t="s">
        <v>1038</v>
      </c>
      <c r="E127">
        <v>4.1399999999999999E-2</v>
      </c>
    </row>
    <row r="128" spans="1:5" x14ac:dyDescent="0.25">
      <c r="A128">
        <v>168</v>
      </c>
      <c r="B128" s="27" t="s">
        <v>912</v>
      </c>
      <c r="C128" s="205" t="s">
        <v>858</v>
      </c>
      <c r="D128" s="205" t="s">
        <v>913</v>
      </c>
      <c r="E128">
        <v>3.9899999999999998E-2</v>
      </c>
    </row>
    <row r="129" spans="1:5" x14ac:dyDescent="0.25">
      <c r="A129">
        <v>60</v>
      </c>
      <c r="B129" s="27" t="s">
        <v>831</v>
      </c>
      <c r="C129" s="205" t="s">
        <v>832</v>
      </c>
      <c r="D129" s="205" t="s">
        <v>56</v>
      </c>
      <c r="E129">
        <v>3.3500000000000002E-2</v>
      </c>
    </row>
    <row r="130" spans="1:5" x14ac:dyDescent="0.25">
      <c r="A130">
        <v>341</v>
      </c>
      <c r="B130" s="27" t="s">
        <v>1020</v>
      </c>
      <c r="C130" s="205" t="s">
        <v>832</v>
      </c>
      <c r="D130" s="205" t="s">
        <v>56</v>
      </c>
      <c r="E130">
        <v>3.3500000000000002E-2</v>
      </c>
    </row>
    <row r="131" spans="1:5" x14ac:dyDescent="0.25">
      <c r="A131">
        <v>47</v>
      </c>
      <c r="B131" s="27" t="s">
        <v>815</v>
      </c>
      <c r="C131" s="205" t="s">
        <v>813</v>
      </c>
      <c r="D131" s="205" t="s">
        <v>56</v>
      </c>
      <c r="E131">
        <v>2.8299999999999999E-2</v>
      </c>
    </row>
    <row r="132" spans="1:5" x14ac:dyDescent="0.25">
      <c r="A132">
        <v>331</v>
      </c>
      <c r="B132" s="27" t="s">
        <v>1007</v>
      </c>
      <c r="C132" s="205" t="s">
        <v>1008</v>
      </c>
      <c r="D132" s="205" t="s">
        <v>56</v>
      </c>
      <c r="E132">
        <v>2.8299999999999999E-2</v>
      </c>
    </row>
    <row r="133" spans="1:5" x14ac:dyDescent="0.25">
      <c r="A133">
        <v>505</v>
      </c>
      <c r="B133" s="27" t="s">
        <v>1061</v>
      </c>
      <c r="C133" s="205" t="s">
        <v>813</v>
      </c>
      <c r="D133" s="205" t="s">
        <v>890</v>
      </c>
      <c r="E133">
        <v>2.5700000000000001E-2</v>
      </c>
    </row>
    <row r="134" spans="1:5" x14ac:dyDescent="0.25">
      <c r="A134">
        <v>1062</v>
      </c>
      <c r="B134" s="27" t="s">
        <v>1243</v>
      </c>
      <c r="C134" s="205" t="s">
        <v>1244</v>
      </c>
      <c r="D134" s="205" t="s">
        <v>1008</v>
      </c>
      <c r="E134">
        <v>2.8299999999999999E-2</v>
      </c>
    </row>
    <row r="135" spans="1:5" x14ac:dyDescent="0.25">
      <c r="A135">
        <v>150</v>
      </c>
      <c r="B135" s="27" t="s">
        <v>889</v>
      </c>
      <c r="C135" s="205" t="s">
        <v>813</v>
      </c>
      <c r="D135" s="205" t="s">
        <v>890</v>
      </c>
      <c r="E135">
        <v>2.5700000000000001E-2</v>
      </c>
    </row>
    <row r="136" spans="1:5" x14ac:dyDescent="0.25">
      <c r="A136">
        <v>853</v>
      </c>
      <c r="B136" s="27" t="s">
        <v>1221</v>
      </c>
      <c r="C136" s="205" t="s">
        <v>1222</v>
      </c>
      <c r="D136" s="205" t="s">
        <v>1153</v>
      </c>
      <c r="E136">
        <v>3.1699999999999999E-2</v>
      </c>
    </row>
    <row r="137" spans="1:5" x14ac:dyDescent="0.25">
      <c r="A137">
        <v>606</v>
      </c>
      <c r="B137" s="27" t="s">
        <v>1101</v>
      </c>
      <c r="C137" s="205" t="s">
        <v>948</v>
      </c>
      <c r="D137" s="205" t="s">
        <v>919</v>
      </c>
      <c r="E137">
        <v>3.5799999999999998E-2</v>
      </c>
    </row>
    <row r="138" spans="1:5" x14ac:dyDescent="0.25">
      <c r="A138">
        <v>248</v>
      </c>
      <c r="B138" s="27" t="s">
        <v>947</v>
      </c>
      <c r="C138" s="205" t="s">
        <v>948</v>
      </c>
      <c r="D138" s="205" t="s">
        <v>919</v>
      </c>
      <c r="E138">
        <v>3.5799999999999998E-2</v>
      </c>
    </row>
    <row r="139" spans="1:5" x14ac:dyDescent="0.25">
      <c r="A139">
        <v>1096</v>
      </c>
      <c r="B139" s="27" t="s">
        <v>1278</v>
      </c>
      <c r="C139" s="205" t="s">
        <v>1228</v>
      </c>
      <c r="D139" s="205" t="s">
        <v>868</v>
      </c>
      <c r="E139">
        <v>4.6300000000000001E-2</v>
      </c>
    </row>
    <row r="140" spans="1:5" x14ac:dyDescent="0.25">
      <c r="A140">
        <v>610</v>
      </c>
      <c r="B140" s="27" t="s">
        <v>1105</v>
      </c>
      <c r="C140" s="205" t="s">
        <v>957</v>
      </c>
      <c r="D140" s="205" t="s">
        <v>911</v>
      </c>
      <c r="E140">
        <v>3.8399999999999997E-2</v>
      </c>
    </row>
    <row r="141" spans="1:5" x14ac:dyDescent="0.25">
      <c r="A141">
        <v>252</v>
      </c>
      <c r="B141" s="27" t="s">
        <v>956</v>
      </c>
      <c r="C141" s="205" t="s">
        <v>957</v>
      </c>
      <c r="D141" s="205" t="s">
        <v>911</v>
      </c>
      <c r="E141">
        <v>3.8399999999999997E-2</v>
      </c>
    </row>
    <row r="142" spans="1:5" x14ac:dyDescent="0.25">
      <c r="A142">
        <v>723</v>
      </c>
      <c r="B142" s="27" t="s">
        <v>1174</v>
      </c>
      <c r="C142" s="205" t="s">
        <v>847</v>
      </c>
      <c r="D142" s="205" t="s">
        <v>1167</v>
      </c>
      <c r="E142">
        <v>3.6200000000000003E-2</v>
      </c>
    </row>
    <row r="143" spans="1:5" x14ac:dyDescent="0.25">
      <c r="A143">
        <v>706</v>
      </c>
      <c r="B143" s="27" t="s">
        <v>1149</v>
      </c>
      <c r="C143" s="205" t="s">
        <v>1150</v>
      </c>
      <c r="D143" s="205" t="s">
        <v>1140</v>
      </c>
      <c r="E143">
        <v>2.4299999999999999E-2</v>
      </c>
    </row>
    <row r="144" spans="1:5" x14ac:dyDescent="0.25">
      <c r="A144">
        <v>1071</v>
      </c>
      <c r="B144" s="27" t="s">
        <v>1253</v>
      </c>
      <c r="C144" s="205" t="s">
        <v>1228</v>
      </c>
      <c r="D144" s="205" t="s">
        <v>1017</v>
      </c>
      <c r="E144">
        <v>3.1099999999999999E-2</v>
      </c>
    </row>
    <row r="145" spans="1:5" x14ac:dyDescent="0.25">
      <c r="A145">
        <v>81</v>
      </c>
      <c r="B145" s="27" t="s">
        <v>862</v>
      </c>
      <c r="C145" s="205" t="s">
        <v>861</v>
      </c>
      <c r="D145" s="205" t="s">
        <v>99</v>
      </c>
      <c r="E145">
        <v>4.5100000000000001E-2</v>
      </c>
    </row>
    <row r="146" spans="1:5" x14ac:dyDescent="0.25">
      <c r="A146">
        <v>358</v>
      </c>
      <c r="B146" s="27" t="s">
        <v>1041</v>
      </c>
      <c r="C146" s="205" t="s">
        <v>861</v>
      </c>
      <c r="D146" s="205" t="s">
        <v>99</v>
      </c>
      <c r="E146">
        <v>4.5100000000000001E-2</v>
      </c>
    </row>
    <row r="147" spans="1:5" x14ac:dyDescent="0.25">
      <c r="A147">
        <v>526</v>
      </c>
      <c r="B147" s="27" t="s">
        <v>1082</v>
      </c>
      <c r="C147" s="205" t="s">
        <v>861</v>
      </c>
      <c r="D147" s="205" t="s">
        <v>913</v>
      </c>
      <c r="E147">
        <v>4.1200000000000001E-2</v>
      </c>
    </row>
    <row r="148" spans="1:5" x14ac:dyDescent="0.25">
      <c r="A148">
        <v>1090</v>
      </c>
      <c r="B148" s="27" t="s">
        <v>1272</v>
      </c>
      <c r="C148" s="205" t="s">
        <v>1244</v>
      </c>
      <c r="D148" s="205" t="s">
        <v>861</v>
      </c>
      <c r="E148">
        <v>4.2799999999999998E-2</v>
      </c>
    </row>
    <row r="149" spans="1:5" x14ac:dyDescent="0.25">
      <c r="A149">
        <v>171</v>
      </c>
      <c r="B149" s="27" t="s">
        <v>916</v>
      </c>
      <c r="C149" s="205" t="s">
        <v>861</v>
      </c>
      <c r="D149" s="205" t="s">
        <v>913</v>
      </c>
      <c r="E149">
        <v>4.1200000000000001E-2</v>
      </c>
    </row>
    <row r="150" spans="1:5" x14ac:dyDescent="0.25">
      <c r="A150">
        <v>854</v>
      </c>
      <c r="B150" s="27" t="s">
        <v>1223</v>
      </c>
      <c r="C150" s="205" t="s">
        <v>1224</v>
      </c>
      <c r="D150" s="205" t="s">
        <v>1153</v>
      </c>
      <c r="E150">
        <v>3.5400000000000001E-2</v>
      </c>
    </row>
    <row r="151" spans="1:5" x14ac:dyDescent="0.25">
      <c r="A151">
        <v>58</v>
      </c>
      <c r="B151" s="27" t="s">
        <v>829</v>
      </c>
      <c r="C151" s="205" t="s">
        <v>826</v>
      </c>
      <c r="D151" s="205" t="s">
        <v>48</v>
      </c>
      <c r="E151">
        <v>3.3500000000000002E-2</v>
      </c>
    </row>
    <row r="152" spans="1:5" x14ac:dyDescent="0.25">
      <c r="A152">
        <v>339</v>
      </c>
      <c r="B152" s="27" t="s">
        <v>1018</v>
      </c>
      <c r="C152" s="205" t="s">
        <v>1017</v>
      </c>
      <c r="D152" s="205" t="s">
        <v>48</v>
      </c>
      <c r="E152">
        <v>3.3500000000000002E-2</v>
      </c>
    </row>
    <row r="153" spans="1:5" x14ac:dyDescent="0.25">
      <c r="A153">
        <v>510</v>
      </c>
      <c r="B153" s="27" t="s">
        <v>1066</v>
      </c>
      <c r="C153" s="205" t="s">
        <v>826</v>
      </c>
      <c r="D153" s="205" t="s">
        <v>848</v>
      </c>
      <c r="E153">
        <v>3.0499999999999999E-2</v>
      </c>
    </row>
    <row r="154" spans="1:5" x14ac:dyDescent="0.25">
      <c r="A154">
        <v>1073</v>
      </c>
      <c r="B154" s="27" t="s">
        <v>1255</v>
      </c>
      <c r="C154" s="205" t="s">
        <v>1231</v>
      </c>
      <c r="D154" s="205" t="s">
        <v>1017</v>
      </c>
      <c r="E154">
        <v>3.2899999999999999E-2</v>
      </c>
    </row>
    <row r="155" spans="1:5" x14ac:dyDescent="0.25">
      <c r="A155">
        <v>155</v>
      </c>
      <c r="B155" s="27" t="s">
        <v>895</v>
      </c>
      <c r="C155" s="205" t="s">
        <v>826</v>
      </c>
      <c r="D155" s="205" t="s">
        <v>848</v>
      </c>
      <c r="E155">
        <v>3.0499999999999999E-2</v>
      </c>
    </row>
    <row r="156" spans="1:5" x14ac:dyDescent="0.25">
      <c r="A156">
        <v>48</v>
      </c>
      <c r="B156" s="27" t="s">
        <v>816</v>
      </c>
      <c r="C156" s="205" t="s">
        <v>813</v>
      </c>
      <c r="D156" s="205" t="s">
        <v>48</v>
      </c>
      <c r="E156">
        <v>2.9000000000000001E-2</v>
      </c>
    </row>
    <row r="157" spans="1:5" x14ac:dyDescent="0.25">
      <c r="A157">
        <v>332</v>
      </c>
      <c r="B157" s="27" t="s">
        <v>1009</v>
      </c>
      <c r="C157" s="205" t="s">
        <v>1008</v>
      </c>
      <c r="D157" s="205" t="s">
        <v>48</v>
      </c>
      <c r="E157">
        <v>2.9000000000000001E-2</v>
      </c>
    </row>
    <row r="158" spans="1:5" x14ac:dyDescent="0.25">
      <c r="A158">
        <v>506</v>
      </c>
      <c r="B158" s="27" t="s">
        <v>1062</v>
      </c>
      <c r="C158" s="205" t="s">
        <v>813</v>
      </c>
      <c r="D158" s="205" t="s">
        <v>890</v>
      </c>
      <c r="E158">
        <v>2.64E-2</v>
      </c>
    </row>
    <row r="159" spans="1:5" x14ac:dyDescent="0.25">
      <c r="A159">
        <v>1063</v>
      </c>
      <c r="B159" s="27" t="s">
        <v>1245</v>
      </c>
      <c r="C159" s="205" t="s">
        <v>1231</v>
      </c>
      <c r="D159" s="205" t="s">
        <v>1008</v>
      </c>
      <c r="E159">
        <v>2.9100000000000001E-2</v>
      </c>
    </row>
    <row r="160" spans="1:5" x14ac:dyDescent="0.25">
      <c r="A160">
        <v>151</v>
      </c>
      <c r="B160" s="27" t="s">
        <v>891</v>
      </c>
      <c r="C160" s="205" t="s">
        <v>813</v>
      </c>
      <c r="D160" s="205" t="s">
        <v>890</v>
      </c>
      <c r="E160">
        <v>2.64E-2</v>
      </c>
    </row>
    <row r="161" spans="1:5" x14ac:dyDescent="0.25">
      <c r="A161">
        <v>724</v>
      </c>
      <c r="B161" s="27" t="s">
        <v>1175</v>
      </c>
      <c r="C161" s="205" t="s">
        <v>1176</v>
      </c>
      <c r="D161" s="205" t="s">
        <v>1153</v>
      </c>
      <c r="E161">
        <v>3.6799999999999999E-2</v>
      </c>
    </row>
    <row r="162" spans="1:5" x14ac:dyDescent="0.25">
      <c r="A162">
        <v>728</v>
      </c>
      <c r="B162" s="27" t="s">
        <v>1180</v>
      </c>
      <c r="C162" s="205" t="s">
        <v>861</v>
      </c>
      <c r="D162" s="205" t="s">
        <v>1167</v>
      </c>
      <c r="E162">
        <v>4.0500000000000001E-2</v>
      </c>
    </row>
    <row r="163" spans="1:5" x14ac:dyDescent="0.25">
      <c r="A163">
        <v>49</v>
      </c>
      <c r="B163" s="27" t="s">
        <v>817</v>
      </c>
      <c r="C163" s="205" t="s">
        <v>813</v>
      </c>
      <c r="D163" s="205" t="s">
        <v>53</v>
      </c>
      <c r="E163">
        <v>3.04E-2</v>
      </c>
    </row>
    <row r="164" spans="1:5" x14ac:dyDescent="0.25">
      <c r="A164">
        <v>333</v>
      </c>
      <c r="B164" s="27" t="s">
        <v>1010</v>
      </c>
      <c r="C164" s="205" t="s">
        <v>1008</v>
      </c>
      <c r="D164" s="205" t="s">
        <v>53</v>
      </c>
      <c r="E164">
        <v>0.30399999999999999</v>
      </c>
    </row>
    <row r="165" spans="1:5" x14ac:dyDescent="0.25">
      <c r="A165">
        <v>714</v>
      </c>
      <c r="B165" s="27" t="s">
        <v>1161</v>
      </c>
      <c r="C165" s="205" t="s">
        <v>1162</v>
      </c>
      <c r="D165" s="205" t="s">
        <v>1153</v>
      </c>
      <c r="E165">
        <v>2.9700000000000001E-2</v>
      </c>
    </row>
    <row r="166" spans="1:5" x14ac:dyDescent="0.25">
      <c r="A166">
        <v>611</v>
      </c>
      <c r="B166" s="27" t="s">
        <v>1106</v>
      </c>
      <c r="C166" s="205" t="s">
        <v>959</v>
      </c>
      <c r="D166" s="205" t="s">
        <v>960</v>
      </c>
      <c r="E166">
        <v>0.04</v>
      </c>
    </row>
    <row r="167" spans="1:5" x14ac:dyDescent="0.25">
      <c r="A167">
        <v>253</v>
      </c>
      <c r="B167" s="27" t="s">
        <v>958</v>
      </c>
      <c r="C167" s="205" t="s">
        <v>959</v>
      </c>
      <c r="D167" s="205" t="s">
        <v>960</v>
      </c>
      <c r="E167">
        <v>0.04</v>
      </c>
    </row>
    <row r="168" spans="1:5" x14ac:dyDescent="0.25">
      <c r="A168">
        <v>1052</v>
      </c>
      <c r="B168" s="27" t="s">
        <v>1233</v>
      </c>
      <c r="C168" s="205" t="s">
        <v>1129</v>
      </c>
      <c r="D168" s="205" t="s">
        <v>805</v>
      </c>
      <c r="E168">
        <v>2.18E-2</v>
      </c>
    </row>
    <row r="169" spans="1:5" x14ac:dyDescent="0.25">
      <c r="A169">
        <v>44</v>
      </c>
      <c r="B169" s="27" t="s">
        <v>810</v>
      </c>
      <c r="C169" s="205" t="s">
        <v>809</v>
      </c>
      <c r="D169" s="205" t="s">
        <v>48</v>
      </c>
      <c r="E169">
        <v>2.6499999999999999E-2</v>
      </c>
    </row>
    <row r="170" spans="1:5" x14ac:dyDescent="0.25">
      <c r="A170">
        <v>329</v>
      </c>
      <c r="B170" s="27" t="s">
        <v>1005</v>
      </c>
      <c r="C170" s="205" t="s">
        <v>809</v>
      </c>
      <c r="D170" s="205" t="s">
        <v>48</v>
      </c>
      <c r="E170">
        <v>2.6499999999999999E-2</v>
      </c>
    </row>
    <row r="171" spans="1:5" x14ac:dyDescent="0.25">
      <c r="A171">
        <v>1058</v>
      </c>
      <c r="B171" s="27" t="s">
        <v>1239</v>
      </c>
      <c r="C171" s="205" t="s">
        <v>1231</v>
      </c>
      <c r="D171" s="205" t="s">
        <v>809</v>
      </c>
      <c r="E171">
        <v>2.6100000000000002E-2</v>
      </c>
    </row>
    <row r="172" spans="1:5" x14ac:dyDescent="0.25">
      <c r="A172">
        <v>692</v>
      </c>
      <c r="B172" s="27" t="s">
        <v>1131</v>
      </c>
      <c r="C172" s="205" t="s">
        <v>751</v>
      </c>
      <c r="D172" s="205" t="s">
        <v>1129</v>
      </c>
      <c r="E172">
        <v>8.8299999999999993E-3</v>
      </c>
    </row>
    <row r="173" spans="1:5" x14ac:dyDescent="0.25">
      <c r="A173">
        <v>1060</v>
      </c>
      <c r="B173" s="27" t="s">
        <v>1241</v>
      </c>
      <c r="C173" s="205" t="s">
        <v>1129</v>
      </c>
      <c r="D173" s="205" t="s">
        <v>1008</v>
      </c>
      <c r="E173">
        <v>2.6100000000000002E-2</v>
      </c>
    </row>
    <row r="174" spans="1:5" x14ac:dyDescent="0.25">
      <c r="A174">
        <v>627</v>
      </c>
      <c r="B174" s="27" t="s">
        <v>1122</v>
      </c>
      <c r="C174" s="205" t="s">
        <v>992</v>
      </c>
      <c r="D174" s="205" t="s">
        <v>921</v>
      </c>
      <c r="E174">
        <v>4.9399999999999999E-2</v>
      </c>
    </row>
    <row r="175" spans="1:5" x14ac:dyDescent="0.25">
      <c r="A175">
        <v>269</v>
      </c>
      <c r="B175" s="27" t="s">
        <v>991</v>
      </c>
      <c r="C175" s="205" t="s">
        <v>992</v>
      </c>
      <c r="D175" s="205" t="s">
        <v>921</v>
      </c>
      <c r="E175">
        <v>4.9399999999999999E-2</v>
      </c>
    </row>
    <row r="176" spans="1:5" x14ac:dyDescent="0.25">
      <c r="A176">
        <v>733</v>
      </c>
      <c r="B176" s="27" t="s">
        <v>1185</v>
      </c>
      <c r="C176" s="205" t="s">
        <v>1186</v>
      </c>
      <c r="D176" s="205" t="s">
        <v>1167</v>
      </c>
      <c r="E176">
        <v>4.9000000000000002E-2</v>
      </c>
    </row>
    <row r="177" spans="1:5" x14ac:dyDescent="0.25">
      <c r="A177">
        <v>96</v>
      </c>
      <c r="B177" s="27" t="s">
        <v>887</v>
      </c>
      <c r="C177" s="205" t="s">
        <v>888</v>
      </c>
      <c r="D177" s="205" t="s">
        <v>886</v>
      </c>
      <c r="E177">
        <v>6.2100000000000002E-2</v>
      </c>
    </row>
    <row r="178" spans="1:5" x14ac:dyDescent="0.25">
      <c r="A178">
        <v>1059</v>
      </c>
      <c r="B178" s="27" t="s">
        <v>1240</v>
      </c>
      <c r="C178" s="205" t="s">
        <v>753</v>
      </c>
      <c r="D178" s="205" t="s">
        <v>1008</v>
      </c>
      <c r="E178">
        <v>2.5700000000000001E-2</v>
      </c>
    </row>
    <row r="179" spans="1:5" x14ac:dyDescent="0.25">
      <c r="A179">
        <v>604</v>
      </c>
      <c r="B179" s="27" t="s">
        <v>1099</v>
      </c>
      <c r="C179" s="205" t="s">
        <v>946</v>
      </c>
      <c r="D179" s="205" t="s">
        <v>903</v>
      </c>
      <c r="E179">
        <v>3.5000000000000003E-2</v>
      </c>
    </row>
    <row r="180" spans="1:5" x14ac:dyDescent="0.25">
      <c r="A180">
        <v>247</v>
      </c>
      <c r="B180" s="27" t="s">
        <v>945</v>
      </c>
      <c r="C180" s="205" t="s">
        <v>946</v>
      </c>
      <c r="D180" s="205" t="s">
        <v>903</v>
      </c>
      <c r="E180">
        <v>3.5000000000000003E-2</v>
      </c>
    </row>
    <row r="181" spans="1:5" x14ac:dyDescent="0.25">
      <c r="A181">
        <v>1070</v>
      </c>
      <c r="B181" s="27" t="s">
        <v>1252</v>
      </c>
      <c r="C181" s="205" t="s">
        <v>1129</v>
      </c>
      <c r="D181" s="205" t="s">
        <v>1017</v>
      </c>
      <c r="E181">
        <v>3.0200000000000001E-2</v>
      </c>
    </row>
    <row r="182" spans="1:5" x14ac:dyDescent="0.25">
      <c r="A182">
        <v>56</v>
      </c>
      <c r="B182" s="27" t="s">
        <v>827</v>
      </c>
      <c r="C182" s="205" t="s">
        <v>826</v>
      </c>
      <c r="D182" s="205" t="s">
        <v>46</v>
      </c>
      <c r="E182">
        <v>3.0099999999999998E-2</v>
      </c>
    </row>
    <row r="183" spans="1:5" x14ac:dyDescent="0.25">
      <c r="A183">
        <v>94</v>
      </c>
      <c r="B183" s="27" t="s">
        <v>882</v>
      </c>
      <c r="C183" s="205" t="s">
        <v>883</v>
      </c>
      <c r="D183" s="205" t="s">
        <v>113</v>
      </c>
      <c r="E183">
        <v>5.7000000000000002E-2</v>
      </c>
    </row>
    <row r="184" spans="1:5" x14ac:dyDescent="0.25">
      <c r="A184">
        <v>369</v>
      </c>
      <c r="B184" s="27" t="s">
        <v>1057</v>
      </c>
      <c r="C184" s="205" t="s">
        <v>1058</v>
      </c>
      <c r="D184" s="205" t="s">
        <v>113</v>
      </c>
      <c r="E184">
        <v>5.7000000000000002E-2</v>
      </c>
    </row>
    <row r="185" spans="1:5" x14ac:dyDescent="0.25">
      <c r="A185">
        <v>1108</v>
      </c>
      <c r="B185" s="27" t="s">
        <v>1291</v>
      </c>
      <c r="C185" s="205" t="s">
        <v>749</v>
      </c>
      <c r="D185" s="205" t="s">
        <v>1058</v>
      </c>
      <c r="E185">
        <v>5.7000000000000002E-2</v>
      </c>
    </row>
    <row r="186" spans="1:5" x14ac:dyDescent="0.25">
      <c r="A186">
        <v>89</v>
      </c>
      <c r="B186" s="27" t="s">
        <v>873</v>
      </c>
      <c r="C186" s="205" t="s">
        <v>874</v>
      </c>
      <c r="D186" s="205" t="s">
        <v>87</v>
      </c>
      <c r="E186">
        <v>4.9799999999999997E-2</v>
      </c>
    </row>
    <row r="187" spans="1:5" x14ac:dyDescent="0.25">
      <c r="A187">
        <v>365</v>
      </c>
      <c r="B187" s="27" t="s">
        <v>1051</v>
      </c>
      <c r="C187" s="205" t="s">
        <v>1050</v>
      </c>
      <c r="D187" s="205" t="s">
        <v>87</v>
      </c>
      <c r="E187">
        <v>4.9799999999999997E-2</v>
      </c>
    </row>
    <row r="188" spans="1:5" x14ac:dyDescent="0.25">
      <c r="A188">
        <v>534</v>
      </c>
      <c r="B188" s="27" t="s">
        <v>1090</v>
      </c>
      <c r="C188" s="205" t="s">
        <v>874</v>
      </c>
      <c r="D188" s="205" t="s">
        <v>925</v>
      </c>
      <c r="E188">
        <v>4.4900000000000002E-2</v>
      </c>
    </row>
    <row r="189" spans="1:5" x14ac:dyDescent="0.25">
      <c r="A189">
        <v>1102</v>
      </c>
      <c r="B189" s="27" t="s">
        <v>1284</v>
      </c>
      <c r="C189" s="205" t="s">
        <v>1129</v>
      </c>
      <c r="D189" s="205" t="s">
        <v>1050</v>
      </c>
      <c r="E189">
        <v>4.8399999999999999E-2</v>
      </c>
    </row>
    <row r="190" spans="1:5" x14ac:dyDescent="0.25">
      <c r="A190">
        <v>179</v>
      </c>
      <c r="B190" s="27" t="s">
        <v>927</v>
      </c>
      <c r="C190" s="205" t="s">
        <v>874</v>
      </c>
      <c r="D190" s="205" t="s">
        <v>925</v>
      </c>
      <c r="E190">
        <v>4.4900000000000002E-2</v>
      </c>
    </row>
    <row r="191" spans="1:5" x14ac:dyDescent="0.25">
      <c r="A191">
        <v>45</v>
      </c>
      <c r="B191" s="27" t="s">
        <v>811</v>
      </c>
      <c r="C191" s="205" t="s">
        <v>809</v>
      </c>
      <c r="D191" s="205" t="s">
        <v>53</v>
      </c>
      <c r="E191">
        <v>2.7699999999999999E-2</v>
      </c>
    </row>
    <row r="192" spans="1:5" x14ac:dyDescent="0.25">
      <c r="A192">
        <v>330</v>
      </c>
      <c r="B192" s="27" t="s">
        <v>1006</v>
      </c>
      <c r="C192" s="205" t="s">
        <v>809</v>
      </c>
      <c r="D192" s="205" t="s">
        <v>53</v>
      </c>
      <c r="E192">
        <v>2.7699999999999999E-2</v>
      </c>
    </row>
    <row r="193" spans="1:5" x14ac:dyDescent="0.25">
      <c r="A193">
        <v>726</v>
      </c>
      <c r="B193" s="27" t="s">
        <v>1178</v>
      </c>
      <c r="C193" s="205" t="s">
        <v>855</v>
      </c>
      <c r="D193" s="205" t="s">
        <v>1167</v>
      </c>
      <c r="E193">
        <v>3.7699999999999997E-2</v>
      </c>
    </row>
    <row r="194" spans="1:5" x14ac:dyDescent="0.25">
      <c r="A194">
        <v>701</v>
      </c>
      <c r="B194" s="27" t="s">
        <v>1142</v>
      </c>
      <c r="C194" s="205" t="s">
        <v>802</v>
      </c>
      <c r="D194" s="205" t="s">
        <v>1140</v>
      </c>
      <c r="E194">
        <v>1.8700000000000001E-2</v>
      </c>
    </row>
    <row r="195" spans="1:5" x14ac:dyDescent="0.25">
      <c r="A195">
        <v>720</v>
      </c>
      <c r="B195" s="27" t="s">
        <v>1171</v>
      </c>
      <c r="C195" s="205" t="s">
        <v>837</v>
      </c>
      <c r="D195" s="205" t="s">
        <v>1167</v>
      </c>
      <c r="E195">
        <v>3.3099999999999997E-2</v>
      </c>
    </row>
    <row r="196" spans="1:5" x14ac:dyDescent="0.25">
      <c r="A196">
        <v>41</v>
      </c>
      <c r="B196" s="27" t="s">
        <v>806</v>
      </c>
      <c r="C196" s="205" t="s">
        <v>805</v>
      </c>
      <c r="D196" s="205" t="s">
        <v>48</v>
      </c>
      <c r="E196">
        <v>2.4400000000000002E-2</v>
      </c>
    </row>
    <row r="197" spans="1:5" x14ac:dyDescent="0.25">
      <c r="A197">
        <v>327</v>
      </c>
      <c r="B197" s="27" t="s">
        <v>1003</v>
      </c>
      <c r="C197" s="205" t="s">
        <v>805</v>
      </c>
      <c r="D197" s="205" t="s">
        <v>48</v>
      </c>
      <c r="E197">
        <v>2.4400000000000002E-2</v>
      </c>
    </row>
    <row r="198" spans="1:5" x14ac:dyDescent="0.25">
      <c r="A198">
        <v>1054</v>
      </c>
      <c r="B198" s="27" t="s">
        <v>1235</v>
      </c>
      <c r="C198" s="205" t="s">
        <v>1231</v>
      </c>
      <c r="D198" s="205" t="s">
        <v>805</v>
      </c>
      <c r="E198">
        <v>2.4500000000000001E-2</v>
      </c>
    </row>
    <row r="199" spans="1:5" x14ac:dyDescent="0.25">
      <c r="A199">
        <v>1056</v>
      </c>
      <c r="B199" s="27" t="s">
        <v>1237</v>
      </c>
      <c r="C199" s="205" t="s">
        <v>1129</v>
      </c>
      <c r="D199" s="205" t="s">
        <v>809</v>
      </c>
      <c r="E199">
        <v>2.3800000000000002E-2</v>
      </c>
    </row>
    <row r="200" spans="1:5" x14ac:dyDescent="0.25">
      <c r="A200">
        <v>735</v>
      </c>
      <c r="B200" s="27" t="s">
        <v>1190</v>
      </c>
      <c r="C200" s="205" t="s">
        <v>1191</v>
      </c>
      <c r="D200" s="205" t="s">
        <v>1189</v>
      </c>
      <c r="E200">
        <v>5.8799999999999998E-2</v>
      </c>
    </row>
    <row r="201" spans="1:5" x14ac:dyDescent="0.25">
      <c r="A201">
        <v>1074</v>
      </c>
      <c r="B201" s="27" t="s">
        <v>1256</v>
      </c>
      <c r="C201" s="205" t="s">
        <v>753</v>
      </c>
      <c r="D201" s="205" t="s">
        <v>1024</v>
      </c>
      <c r="E201">
        <v>3.2599999999999997E-2</v>
      </c>
    </row>
    <row r="202" spans="1:5" x14ac:dyDescent="0.25">
      <c r="A202">
        <v>616</v>
      </c>
      <c r="B202" s="27" t="s">
        <v>1111</v>
      </c>
      <c r="C202" s="205" t="s">
        <v>969</v>
      </c>
      <c r="D202" s="205" t="s">
        <v>925</v>
      </c>
      <c r="E202">
        <v>4.2000000000000003E-2</v>
      </c>
    </row>
    <row r="203" spans="1:5" x14ac:dyDescent="0.25">
      <c r="A203">
        <v>258</v>
      </c>
      <c r="B203" s="27" t="s">
        <v>968</v>
      </c>
      <c r="C203" s="205" t="s">
        <v>969</v>
      </c>
      <c r="D203" s="205" t="s">
        <v>925</v>
      </c>
      <c r="E203">
        <v>4.2000000000000003E-2</v>
      </c>
    </row>
    <row r="204" spans="1:5" x14ac:dyDescent="0.25">
      <c r="A204">
        <v>722</v>
      </c>
      <c r="B204" s="27" t="s">
        <v>1173</v>
      </c>
      <c r="C204" s="205" t="s">
        <v>847</v>
      </c>
      <c r="D204" s="205" t="s">
        <v>1153</v>
      </c>
      <c r="E204">
        <v>3.5999999999999997E-2</v>
      </c>
    </row>
    <row r="205" spans="1:5" x14ac:dyDescent="0.25">
      <c r="A205">
        <v>68</v>
      </c>
      <c r="B205" s="27" t="s">
        <v>842</v>
      </c>
      <c r="C205" s="205" t="s">
        <v>837</v>
      </c>
      <c r="D205" s="205" t="s">
        <v>71</v>
      </c>
      <c r="E205">
        <v>3.9199999999999999E-2</v>
      </c>
    </row>
    <row r="206" spans="1:5" x14ac:dyDescent="0.25">
      <c r="A206">
        <v>348</v>
      </c>
      <c r="B206" s="27" t="s">
        <v>1028</v>
      </c>
      <c r="C206" s="205" t="s">
        <v>1024</v>
      </c>
      <c r="D206" s="205" t="s">
        <v>71</v>
      </c>
      <c r="E206">
        <v>3.9199999999999999E-2</v>
      </c>
    </row>
    <row r="207" spans="1:5" x14ac:dyDescent="0.25">
      <c r="A207">
        <v>727</v>
      </c>
      <c r="B207" s="27" t="s">
        <v>1179</v>
      </c>
      <c r="C207" s="205" t="s">
        <v>858</v>
      </c>
      <c r="D207" s="205" t="s">
        <v>1167</v>
      </c>
      <c r="E207">
        <v>3.9100000000000003E-2</v>
      </c>
    </row>
    <row r="208" spans="1:5" x14ac:dyDescent="0.25">
      <c r="A208">
        <v>86</v>
      </c>
      <c r="B208" s="27" t="s">
        <v>869</v>
      </c>
      <c r="C208" s="205" t="s">
        <v>868</v>
      </c>
      <c r="D208" s="205" t="s">
        <v>99</v>
      </c>
      <c r="E208">
        <v>4.8000000000000001E-2</v>
      </c>
    </row>
    <row r="209" spans="1:5" x14ac:dyDescent="0.25">
      <c r="A209">
        <v>362</v>
      </c>
      <c r="B209" s="27" t="s">
        <v>1046</v>
      </c>
      <c r="C209" s="205" t="s">
        <v>1047</v>
      </c>
      <c r="D209" s="205" t="s">
        <v>99</v>
      </c>
      <c r="E209">
        <v>4.8000000000000001E-2</v>
      </c>
    </row>
    <row r="210" spans="1:5" x14ac:dyDescent="0.25">
      <c r="A210">
        <v>531</v>
      </c>
      <c r="B210" s="27" t="s">
        <v>1087</v>
      </c>
      <c r="C210" s="205" t="s">
        <v>868</v>
      </c>
      <c r="D210" s="205" t="s">
        <v>921</v>
      </c>
      <c r="E210">
        <v>4.3799999999999999E-2</v>
      </c>
    </row>
    <row r="211" spans="1:5" x14ac:dyDescent="0.25">
      <c r="A211">
        <v>1097</v>
      </c>
      <c r="B211" s="27" t="s">
        <v>1279</v>
      </c>
      <c r="C211" s="205" t="s">
        <v>1244</v>
      </c>
      <c r="D211" s="205" t="s">
        <v>868</v>
      </c>
      <c r="E211">
        <v>4.7699999999999999E-2</v>
      </c>
    </row>
    <row r="212" spans="1:5" x14ac:dyDescent="0.25">
      <c r="A212">
        <v>176</v>
      </c>
      <c r="B212" s="27" t="s">
        <v>923</v>
      </c>
      <c r="C212" s="205" t="s">
        <v>868</v>
      </c>
      <c r="D212" s="205" t="s">
        <v>921</v>
      </c>
      <c r="E212">
        <v>4.3799999999999999E-2</v>
      </c>
    </row>
    <row r="213" spans="1:5" x14ac:dyDescent="0.25">
      <c r="A213">
        <v>605</v>
      </c>
      <c r="B213" s="27" t="s">
        <v>1100</v>
      </c>
      <c r="C213" s="205" t="s">
        <v>942</v>
      </c>
      <c r="D213" s="205" t="s">
        <v>848</v>
      </c>
      <c r="E213">
        <v>3.2500000000000001E-2</v>
      </c>
    </row>
    <row r="214" spans="1:5" x14ac:dyDescent="0.25">
      <c r="A214">
        <v>245</v>
      </c>
      <c r="B214" s="27" t="s">
        <v>941</v>
      </c>
      <c r="C214" s="205" t="s">
        <v>942</v>
      </c>
      <c r="D214" s="205" t="s">
        <v>848</v>
      </c>
      <c r="E214">
        <v>3.2500000000000001E-2</v>
      </c>
    </row>
    <row r="215" spans="1:5" x14ac:dyDescent="0.25">
      <c r="A215">
        <v>712</v>
      </c>
      <c r="B215" s="27" t="s">
        <v>1158</v>
      </c>
      <c r="C215" s="205" t="s">
        <v>1159</v>
      </c>
      <c r="D215" s="205" t="s">
        <v>1153</v>
      </c>
      <c r="E215">
        <v>2.8500000000000001E-2</v>
      </c>
    </row>
    <row r="216" spans="1:5" x14ac:dyDescent="0.25">
      <c r="A216">
        <v>40</v>
      </c>
      <c r="B216" s="27" t="s">
        <v>804</v>
      </c>
      <c r="C216" s="205" t="s">
        <v>805</v>
      </c>
      <c r="D216" s="205" t="s">
        <v>46</v>
      </c>
      <c r="E216">
        <v>2.2100000000000002E-2</v>
      </c>
    </row>
    <row r="217" spans="1:5" x14ac:dyDescent="0.25">
      <c r="A217">
        <v>620</v>
      </c>
      <c r="B217" s="27" t="s">
        <v>1115</v>
      </c>
      <c r="C217" s="205" t="s">
        <v>977</v>
      </c>
      <c r="D217" s="205" t="s">
        <v>921</v>
      </c>
      <c r="E217">
        <v>4.4999999999999998E-2</v>
      </c>
    </row>
    <row r="218" spans="1:5" x14ac:dyDescent="0.25">
      <c r="A218">
        <v>262</v>
      </c>
      <c r="B218" s="27" t="s">
        <v>976</v>
      </c>
      <c r="C218" s="205" t="s">
        <v>977</v>
      </c>
      <c r="D218" s="205" t="s">
        <v>921</v>
      </c>
      <c r="E218">
        <v>4.4999999999999998E-2</v>
      </c>
    </row>
    <row r="219" spans="1:5" x14ac:dyDescent="0.25">
      <c r="A219">
        <v>619</v>
      </c>
      <c r="B219" s="27" t="s">
        <v>1114</v>
      </c>
      <c r="C219" s="205" t="s">
        <v>975</v>
      </c>
      <c r="D219" s="205" t="s">
        <v>925</v>
      </c>
      <c r="E219">
        <v>4.3099999999999999E-2</v>
      </c>
    </row>
    <row r="220" spans="1:5" x14ac:dyDescent="0.25">
      <c r="A220">
        <v>261</v>
      </c>
      <c r="B220" s="27" t="s">
        <v>974</v>
      </c>
      <c r="C220" s="205" t="s">
        <v>975</v>
      </c>
      <c r="D220" s="205" t="s">
        <v>925</v>
      </c>
      <c r="E220">
        <v>4.3099999999999999E-2</v>
      </c>
    </row>
    <row r="221" spans="1:5" x14ac:dyDescent="0.25">
      <c r="A221">
        <v>711</v>
      </c>
      <c r="B221" s="27" t="s">
        <v>1157</v>
      </c>
      <c r="C221" s="205" t="s">
        <v>819</v>
      </c>
      <c r="D221" s="205" t="s">
        <v>1153</v>
      </c>
      <c r="E221">
        <v>2.75E-2</v>
      </c>
    </row>
    <row r="222" spans="1:5" x14ac:dyDescent="0.25">
      <c r="A222">
        <v>92</v>
      </c>
      <c r="B222" s="27" t="s">
        <v>878</v>
      </c>
      <c r="C222" s="205" t="s">
        <v>879</v>
      </c>
      <c r="D222" s="205" t="s">
        <v>113</v>
      </c>
      <c r="E222">
        <v>5.5300000000000002E-2</v>
      </c>
    </row>
    <row r="223" spans="1:5" x14ac:dyDescent="0.25">
      <c r="A223">
        <v>599</v>
      </c>
      <c r="B223" s="27" t="s">
        <v>1094</v>
      </c>
      <c r="C223" s="205" t="s">
        <v>935</v>
      </c>
      <c r="D223" s="205" t="s">
        <v>890</v>
      </c>
      <c r="E223">
        <v>2.81E-2</v>
      </c>
    </row>
    <row r="224" spans="1:5" x14ac:dyDescent="0.25">
      <c r="A224">
        <v>241</v>
      </c>
      <c r="B224" s="27" t="s">
        <v>934</v>
      </c>
      <c r="C224" s="205" t="s">
        <v>935</v>
      </c>
      <c r="D224" s="205" t="s">
        <v>890</v>
      </c>
      <c r="E224">
        <v>2.81E-2</v>
      </c>
    </row>
    <row r="225" spans="1:5" x14ac:dyDescent="0.25">
      <c r="A225">
        <v>601</v>
      </c>
      <c r="B225" s="27" t="s">
        <v>1096</v>
      </c>
      <c r="C225" s="205" t="s">
        <v>832</v>
      </c>
      <c r="D225" s="205" t="s">
        <v>848</v>
      </c>
      <c r="E225">
        <v>3.1E-2</v>
      </c>
    </row>
    <row r="226" spans="1:5" x14ac:dyDescent="0.25">
      <c r="A226">
        <v>243</v>
      </c>
      <c r="B226" s="27" t="s">
        <v>938</v>
      </c>
      <c r="C226" s="205" t="s">
        <v>832</v>
      </c>
      <c r="D226" s="205" t="s">
        <v>848</v>
      </c>
      <c r="E226">
        <v>3.04E-2</v>
      </c>
    </row>
    <row r="227" spans="1:5" x14ac:dyDescent="0.25">
      <c r="A227">
        <v>729</v>
      </c>
      <c r="B227" s="27" t="s">
        <v>1181</v>
      </c>
      <c r="C227" s="205" t="s">
        <v>864</v>
      </c>
      <c r="D227" s="205" t="s">
        <v>1167</v>
      </c>
      <c r="E227">
        <v>4.1799999999999997E-2</v>
      </c>
    </row>
    <row r="228" spans="1:5" x14ac:dyDescent="0.25">
      <c r="A228">
        <v>717</v>
      </c>
      <c r="B228" s="27" t="s">
        <v>1166</v>
      </c>
      <c r="C228" s="205" t="s">
        <v>834</v>
      </c>
      <c r="D228" s="205" t="s">
        <v>1167</v>
      </c>
      <c r="E228">
        <v>3.1399999999999997E-2</v>
      </c>
    </row>
    <row r="229" spans="1:5" x14ac:dyDescent="0.25">
      <c r="A229">
        <v>613</v>
      </c>
      <c r="B229" s="27" t="s">
        <v>1108</v>
      </c>
      <c r="C229" s="205" t="s">
        <v>963</v>
      </c>
      <c r="D229" s="205" t="s">
        <v>919</v>
      </c>
      <c r="E229">
        <v>0.04</v>
      </c>
    </row>
    <row r="230" spans="1:5" x14ac:dyDescent="0.25">
      <c r="A230">
        <v>255</v>
      </c>
      <c r="B230" s="27" t="s">
        <v>962</v>
      </c>
      <c r="C230" s="205" t="s">
        <v>963</v>
      </c>
      <c r="D230" s="205" t="s">
        <v>919</v>
      </c>
      <c r="E230">
        <v>0.04</v>
      </c>
    </row>
    <row r="231" spans="1:5" x14ac:dyDescent="0.25">
      <c r="A231">
        <v>713</v>
      </c>
      <c r="B231" s="27" t="s">
        <v>1160</v>
      </c>
      <c r="C231" s="205" t="s">
        <v>826</v>
      </c>
      <c r="D231" s="205" t="s">
        <v>1153</v>
      </c>
      <c r="E231">
        <v>2.9399999999999999E-2</v>
      </c>
    </row>
    <row r="232" spans="1:5" x14ac:dyDescent="0.25">
      <c r="A232">
        <v>42</v>
      </c>
      <c r="B232" s="27" t="s">
        <v>807</v>
      </c>
      <c r="C232" s="205" t="s">
        <v>805</v>
      </c>
      <c r="D232" s="205" t="s">
        <v>53</v>
      </c>
      <c r="E232">
        <v>2.5499999999999998E-2</v>
      </c>
    </row>
    <row r="233" spans="1:5" x14ac:dyDescent="0.25">
      <c r="A233">
        <v>328</v>
      </c>
      <c r="B233" s="27" t="s">
        <v>1004</v>
      </c>
      <c r="C233" s="205" t="s">
        <v>805</v>
      </c>
      <c r="D233" s="205" t="s">
        <v>53</v>
      </c>
      <c r="E233">
        <v>2.5499999999999998E-2</v>
      </c>
    </row>
    <row r="234" spans="1:5" x14ac:dyDescent="0.25">
      <c r="A234">
        <v>76</v>
      </c>
      <c r="B234" s="27" t="s">
        <v>854</v>
      </c>
      <c r="C234" s="205" t="s">
        <v>855</v>
      </c>
      <c r="D234" s="205" t="s">
        <v>87</v>
      </c>
      <c r="E234">
        <v>4.0099999999999997E-2</v>
      </c>
    </row>
    <row r="235" spans="1:5" x14ac:dyDescent="0.25">
      <c r="A235">
        <v>353</v>
      </c>
      <c r="B235" s="27" t="s">
        <v>1035</v>
      </c>
      <c r="C235" s="205" t="s">
        <v>855</v>
      </c>
      <c r="D235" s="205" t="s">
        <v>87</v>
      </c>
      <c r="E235">
        <v>4.0099999999999997E-2</v>
      </c>
    </row>
    <row r="236" spans="1:5" x14ac:dyDescent="0.25">
      <c r="A236">
        <v>519</v>
      </c>
      <c r="B236" s="27" t="s">
        <v>1075</v>
      </c>
      <c r="C236" s="205" t="s">
        <v>855</v>
      </c>
      <c r="D236" s="205" t="s">
        <v>903</v>
      </c>
      <c r="E236">
        <v>3.6299999999999999E-2</v>
      </c>
    </row>
    <row r="237" spans="1:5" x14ac:dyDescent="0.25">
      <c r="A237">
        <v>1083</v>
      </c>
      <c r="B237" s="27" t="s">
        <v>1265</v>
      </c>
      <c r="C237" s="205" t="s">
        <v>1129</v>
      </c>
      <c r="D237" s="205" t="s">
        <v>855</v>
      </c>
      <c r="E237">
        <v>3.78E-2</v>
      </c>
    </row>
    <row r="238" spans="1:5" x14ac:dyDescent="0.25">
      <c r="A238">
        <v>164</v>
      </c>
      <c r="B238" s="27" t="s">
        <v>906</v>
      </c>
      <c r="C238" s="205" t="s">
        <v>855</v>
      </c>
      <c r="D238" s="205" t="s">
        <v>903</v>
      </c>
      <c r="E238">
        <v>3.6299999999999999E-2</v>
      </c>
    </row>
    <row r="239" spans="1:5" x14ac:dyDescent="0.25">
      <c r="A239">
        <v>50</v>
      </c>
      <c r="B239" s="27" t="s">
        <v>818</v>
      </c>
      <c r="C239" s="205" t="s">
        <v>819</v>
      </c>
      <c r="D239" s="205" t="s">
        <v>46</v>
      </c>
      <c r="E239">
        <v>2.8400000000000002E-2</v>
      </c>
    </row>
    <row r="240" spans="1:5" x14ac:dyDescent="0.25">
      <c r="A240">
        <v>602</v>
      </c>
      <c r="B240" s="27" t="s">
        <v>1097</v>
      </c>
      <c r="C240" s="205" t="s">
        <v>940</v>
      </c>
      <c r="D240" s="205" t="s">
        <v>848</v>
      </c>
      <c r="E240">
        <v>3.2500000000000001E-2</v>
      </c>
    </row>
    <row r="241" spans="1:5" x14ac:dyDescent="0.25">
      <c r="A241">
        <v>244</v>
      </c>
      <c r="B241" s="27" t="s">
        <v>939</v>
      </c>
      <c r="C241" s="205" t="s">
        <v>940</v>
      </c>
      <c r="D241" s="205" t="s">
        <v>848</v>
      </c>
      <c r="E241">
        <v>3.1E-2</v>
      </c>
    </row>
    <row r="242" spans="1:5" x14ac:dyDescent="0.25">
      <c r="A242">
        <v>524</v>
      </c>
      <c r="B242" s="27" t="s">
        <v>1080</v>
      </c>
      <c r="C242" s="205" t="s">
        <v>861</v>
      </c>
      <c r="D242" s="205" t="s">
        <v>53</v>
      </c>
      <c r="E242">
        <v>3.8199999999999998E-2</v>
      </c>
    </row>
    <row r="243" spans="1:5" x14ac:dyDescent="0.25">
      <c r="A243">
        <v>1088</v>
      </c>
      <c r="B243" s="27" t="s">
        <v>1270</v>
      </c>
      <c r="C243" s="205" t="s">
        <v>753</v>
      </c>
      <c r="D243" s="205" t="s">
        <v>861</v>
      </c>
      <c r="E243">
        <v>4.1500000000000002E-2</v>
      </c>
    </row>
    <row r="244" spans="1:5" x14ac:dyDescent="0.25">
      <c r="A244">
        <v>169</v>
      </c>
      <c r="B244" s="27" t="s">
        <v>914</v>
      </c>
      <c r="C244" s="205" t="s">
        <v>861</v>
      </c>
      <c r="D244" s="205" t="s">
        <v>53</v>
      </c>
      <c r="E244">
        <v>3.8199999999999998E-2</v>
      </c>
    </row>
    <row r="245" spans="1:5" x14ac:dyDescent="0.25">
      <c r="A245">
        <v>697</v>
      </c>
      <c r="B245" s="27" t="s">
        <v>1136</v>
      </c>
      <c r="C245" s="205" t="s">
        <v>44</v>
      </c>
      <c r="D245" s="205" t="s">
        <v>1129</v>
      </c>
      <c r="E245">
        <v>1.5800000000000002E-2</v>
      </c>
    </row>
    <row r="246" spans="1:5" x14ac:dyDescent="0.25">
      <c r="A246">
        <v>693</v>
      </c>
      <c r="B246" s="27" t="s">
        <v>1132</v>
      </c>
      <c r="C246" s="205" t="s">
        <v>752</v>
      </c>
      <c r="D246" s="205" t="s">
        <v>1129</v>
      </c>
      <c r="E246">
        <v>9.9100000000000004E-3</v>
      </c>
    </row>
    <row r="247" spans="1:5" x14ac:dyDescent="0.25">
      <c r="A247">
        <v>51</v>
      </c>
      <c r="B247" s="27" t="s">
        <v>820</v>
      </c>
      <c r="C247" s="205" t="s">
        <v>819</v>
      </c>
      <c r="D247" s="205" t="s">
        <v>56</v>
      </c>
      <c r="E247">
        <v>3.0599999999999999E-2</v>
      </c>
    </row>
    <row r="248" spans="1:5" x14ac:dyDescent="0.25">
      <c r="A248">
        <v>334</v>
      </c>
      <c r="B248" s="27" t="s">
        <v>1011</v>
      </c>
      <c r="C248" s="205" t="s">
        <v>819</v>
      </c>
      <c r="D248" s="205" t="s">
        <v>56</v>
      </c>
      <c r="E248">
        <v>3.0599999999999999E-2</v>
      </c>
    </row>
    <row r="249" spans="1:5" x14ac:dyDescent="0.25">
      <c r="A249">
        <v>507</v>
      </c>
      <c r="B249" s="27" t="s">
        <v>1063</v>
      </c>
      <c r="C249" s="205" t="s">
        <v>819</v>
      </c>
      <c r="D249" s="205" t="s">
        <v>890</v>
      </c>
      <c r="E249">
        <v>2.7699999999999999E-2</v>
      </c>
    </row>
    <row r="250" spans="1:5" x14ac:dyDescent="0.25">
      <c r="A250">
        <v>1067</v>
      </c>
      <c r="B250" s="27" t="s">
        <v>1249</v>
      </c>
      <c r="C250" s="205" t="s">
        <v>1244</v>
      </c>
      <c r="D250" s="205" t="s">
        <v>819</v>
      </c>
      <c r="E250">
        <v>3.0200000000000001E-2</v>
      </c>
    </row>
    <row r="251" spans="1:5" x14ac:dyDescent="0.25">
      <c r="A251">
        <v>152</v>
      </c>
      <c r="B251" s="27" t="s">
        <v>892</v>
      </c>
      <c r="C251" s="205" t="s">
        <v>819</v>
      </c>
      <c r="D251" s="205" t="s">
        <v>890</v>
      </c>
      <c r="E251">
        <v>2.7699999999999999E-2</v>
      </c>
    </row>
    <row r="252" spans="1:5" x14ac:dyDescent="0.25">
      <c r="A252">
        <v>39</v>
      </c>
      <c r="B252" s="27" t="s">
        <v>803</v>
      </c>
      <c r="C252" s="205" t="s">
        <v>802</v>
      </c>
      <c r="D252" s="205" t="s">
        <v>48</v>
      </c>
      <c r="E252">
        <v>2.1700000000000001E-2</v>
      </c>
    </row>
    <row r="253" spans="1:5" x14ac:dyDescent="0.25">
      <c r="A253">
        <v>326</v>
      </c>
      <c r="B253" s="27" t="s">
        <v>1002</v>
      </c>
      <c r="C253" s="205" t="s">
        <v>802</v>
      </c>
      <c r="D253" s="205" t="s">
        <v>48</v>
      </c>
      <c r="E253">
        <v>2.1700000000000001E-2</v>
      </c>
    </row>
    <row r="254" spans="1:5" x14ac:dyDescent="0.25">
      <c r="A254">
        <v>1050</v>
      </c>
      <c r="B254" s="27" t="s">
        <v>1230</v>
      </c>
      <c r="C254" s="205" t="s">
        <v>1231</v>
      </c>
      <c r="D254" s="205" t="s">
        <v>802</v>
      </c>
      <c r="E254">
        <v>2.1999999999999999E-2</v>
      </c>
    </row>
    <row r="255" spans="1:5" x14ac:dyDescent="0.25">
      <c r="A255">
        <v>690</v>
      </c>
      <c r="B255" s="27" t="s">
        <v>1127</v>
      </c>
      <c r="C255" s="205" t="s">
        <v>1128</v>
      </c>
      <c r="D255" s="205" t="s">
        <v>1129</v>
      </c>
      <c r="E255">
        <v>5.5500000000000002E-3</v>
      </c>
    </row>
    <row r="256" spans="1:5" x14ac:dyDescent="0.25">
      <c r="A256">
        <v>54</v>
      </c>
      <c r="B256" s="27" t="s">
        <v>823</v>
      </c>
      <c r="C256" s="205" t="s">
        <v>824</v>
      </c>
      <c r="D256" s="205" t="s">
        <v>56</v>
      </c>
      <c r="E256">
        <v>3.1899999999999998E-2</v>
      </c>
    </row>
    <row r="257" spans="1:5" x14ac:dyDescent="0.25">
      <c r="A257">
        <v>337</v>
      </c>
      <c r="B257" s="27" t="s">
        <v>1014</v>
      </c>
      <c r="C257" s="205" t="s">
        <v>1015</v>
      </c>
      <c r="D257" s="205" t="s">
        <v>56</v>
      </c>
      <c r="E257">
        <v>3.1899999999999998E-2</v>
      </c>
    </row>
    <row r="258" spans="1:5" x14ac:dyDescent="0.25">
      <c r="A258">
        <v>625</v>
      </c>
      <c r="B258" s="27" t="s">
        <v>1120</v>
      </c>
      <c r="C258" s="205" t="s">
        <v>987</v>
      </c>
      <c r="D258" s="205" t="s">
        <v>921</v>
      </c>
      <c r="E258">
        <v>4.8099999999999997E-2</v>
      </c>
    </row>
    <row r="259" spans="1:5" x14ac:dyDescent="0.25">
      <c r="A259">
        <v>267</v>
      </c>
      <c r="B259" s="27" t="s">
        <v>986</v>
      </c>
      <c r="C259" s="205" t="s">
        <v>987</v>
      </c>
      <c r="D259" s="205" t="s">
        <v>921</v>
      </c>
      <c r="E259">
        <v>4.8099999999999997E-2</v>
      </c>
    </row>
    <row r="260" spans="1:5" x14ac:dyDescent="0.25">
      <c r="A260">
        <v>626</v>
      </c>
      <c r="B260" s="27" t="s">
        <v>1121</v>
      </c>
      <c r="C260" s="205" t="s">
        <v>989</v>
      </c>
      <c r="D260" t="s">
        <v>990</v>
      </c>
      <c r="E260">
        <v>4.7300000000000002E-2</v>
      </c>
    </row>
    <row r="261" spans="1:5" x14ac:dyDescent="0.25">
      <c r="A261">
        <v>268</v>
      </c>
      <c r="B261" s="27" t="s">
        <v>988</v>
      </c>
      <c r="C261" s="205" t="s">
        <v>989</v>
      </c>
      <c r="D261" t="s">
        <v>990</v>
      </c>
      <c r="E261">
        <v>4.7300000000000002E-2</v>
      </c>
    </row>
    <row r="262" spans="1:5" x14ac:dyDescent="0.25">
      <c r="A262">
        <v>46</v>
      </c>
      <c r="B262" s="27" t="s">
        <v>812</v>
      </c>
      <c r="C262" s="205" t="s">
        <v>813</v>
      </c>
      <c r="D262" s="205" t="s">
        <v>814</v>
      </c>
      <c r="E262">
        <v>2.63E-2</v>
      </c>
    </row>
    <row r="263" spans="1:5" x14ac:dyDescent="0.25">
      <c r="A263">
        <v>702</v>
      </c>
      <c r="B263" s="27" t="s">
        <v>1143</v>
      </c>
      <c r="C263" s="205" t="s">
        <v>1144</v>
      </c>
      <c r="D263" s="205" t="s">
        <v>1140</v>
      </c>
      <c r="E263">
        <v>1.9800000000000002E-2</v>
      </c>
    </row>
    <row r="264" spans="1:5" x14ac:dyDescent="0.25">
      <c r="A264">
        <v>718</v>
      </c>
      <c r="B264" s="27" t="s">
        <v>1168</v>
      </c>
      <c r="C264" s="205" t="s">
        <v>1169</v>
      </c>
      <c r="D264" s="205" t="s">
        <v>1153</v>
      </c>
      <c r="E264">
        <v>3.1899999999999998E-2</v>
      </c>
    </row>
    <row r="265" spans="1:5" x14ac:dyDescent="0.25">
      <c r="A265">
        <v>84</v>
      </c>
      <c r="B265" s="27" t="s">
        <v>866</v>
      </c>
      <c r="C265" s="205" t="s">
        <v>864</v>
      </c>
      <c r="D265" s="205" t="s">
        <v>99</v>
      </c>
      <c r="E265">
        <v>4.6600000000000003E-2</v>
      </c>
    </row>
    <row r="266" spans="1:5" x14ac:dyDescent="0.25">
      <c r="A266">
        <v>360</v>
      </c>
      <c r="B266" s="27" t="s">
        <v>1044</v>
      </c>
      <c r="C266" s="205" t="s">
        <v>1043</v>
      </c>
      <c r="D266" s="205" t="s">
        <v>99</v>
      </c>
      <c r="E266">
        <v>4.6600000000000003E-2</v>
      </c>
    </row>
    <row r="267" spans="1:5" x14ac:dyDescent="0.25">
      <c r="A267">
        <v>529</v>
      </c>
      <c r="B267" s="27" t="s">
        <v>1085</v>
      </c>
      <c r="C267" s="205" t="s">
        <v>864</v>
      </c>
      <c r="D267" s="205" t="s">
        <v>921</v>
      </c>
      <c r="E267">
        <v>4.2599999999999999E-2</v>
      </c>
    </row>
    <row r="268" spans="1:5" x14ac:dyDescent="0.25">
      <c r="A268">
        <v>1093</v>
      </c>
      <c r="B268" s="27" t="s">
        <v>1275</v>
      </c>
      <c r="C268" s="205" t="s">
        <v>1244</v>
      </c>
      <c r="D268" s="205" t="s">
        <v>1043</v>
      </c>
      <c r="E268">
        <v>4.6399999999999997E-2</v>
      </c>
    </row>
    <row r="269" spans="1:5" x14ac:dyDescent="0.25">
      <c r="A269">
        <v>174</v>
      </c>
      <c r="B269" s="27" t="s">
        <v>920</v>
      </c>
      <c r="C269" s="205" t="s">
        <v>864</v>
      </c>
      <c r="D269" s="205" t="s">
        <v>921</v>
      </c>
      <c r="E269">
        <v>4.2599999999999999E-2</v>
      </c>
    </row>
    <row r="270" spans="1:5" x14ac:dyDescent="0.25">
      <c r="A270">
        <v>696</v>
      </c>
      <c r="B270" s="27" t="s">
        <v>1135</v>
      </c>
      <c r="C270" s="205" t="s">
        <v>42</v>
      </c>
      <c r="D270" s="205" t="s">
        <v>1129</v>
      </c>
      <c r="E270">
        <v>1.4E-2</v>
      </c>
    </row>
    <row r="271" spans="1:5" x14ac:dyDescent="0.25">
      <c r="A271">
        <v>515</v>
      </c>
      <c r="B271" s="27" t="s">
        <v>1071</v>
      </c>
      <c r="C271" s="205" t="s">
        <v>847</v>
      </c>
      <c r="D271" s="205" t="s">
        <v>53</v>
      </c>
      <c r="E271">
        <v>3.4299999999999997E-2</v>
      </c>
    </row>
    <row r="272" spans="1:5" x14ac:dyDescent="0.25">
      <c r="A272">
        <v>1079</v>
      </c>
      <c r="B272" s="27" t="s">
        <v>1261</v>
      </c>
      <c r="C272" s="205" t="s">
        <v>753</v>
      </c>
      <c r="D272" s="205" t="s">
        <v>1033</v>
      </c>
      <c r="E272">
        <v>3.5700000000000003E-2</v>
      </c>
    </row>
    <row r="273" spans="1:5" x14ac:dyDescent="0.25">
      <c r="A273">
        <v>160</v>
      </c>
      <c r="B273" s="27" t="s">
        <v>901</v>
      </c>
      <c r="C273" s="205" t="s">
        <v>847</v>
      </c>
      <c r="D273" s="205" t="s">
        <v>53</v>
      </c>
      <c r="E273">
        <v>3.4299999999999997E-2</v>
      </c>
    </row>
    <row r="274" spans="1:5" x14ac:dyDescent="0.25">
      <c r="A274">
        <v>1069</v>
      </c>
      <c r="B274" s="27" t="s">
        <v>1251</v>
      </c>
      <c r="C274" s="205" t="s">
        <v>753</v>
      </c>
      <c r="D274" s="205" t="s">
        <v>1017</v>
      </c>
      <c r="E274">
        <v>2.9100000000000001E-2</v>
      </c>
    </row>
    <row r="275" spans="1:5" x14ac:dyDescent="0.25">
      <c r="A275">
        <v>621</v>
      </c>
      <c r="B275" s="27" t="s">
        <v>1116</v>
      </c>
      <c r="C275" s="205" t="s">
        <v>979</v>
      </c>
      <c r="D275" s="205" t="s">
        <v>911</v>
      </c>
      <c r="E275">
        <v>4.3900000000000002E-2</v>
      </c>
    </row>
    <row r="276" spans="1:5" x14ac:dyDescent="0.25">
      <c r="A276">
        <v>263</v>
      </c>
      <c r="B276" s="27" t="s">
        <v>978</v>
      </c>
      <c r="C276" s="205" t="s">
        <v>979</v>
      </c>
      <c r="D276" s="205" t="s">
        <v>911</v>
      </c>
      <c r="E276">
        <v>4.3900000000000002E-2</v>
      </c>
    </row>
    <row r="277" spans="1:5" x14ac:dyDescent="0.25">
      <c r="A277">
        <v>88</v>
      </c>
      <c r="B277" s="27" t="s">
        <v>872</v>
      </c>
      <c r="C277" s="205" t="s">
        <v>871</v>
      </c>
      <c r="D277" s="205" t="s">
        <v>99</v>
      </c>
      <c r="E277">
        <v>4.9500000000000002E-2</v>
      </c>
    </row>
    <row r="278" spans="1:5" x14ac:dyDescent="0.25">
      <c r="A278">
        <v>364</v>
      </c>
      <c r="B278" s="27" t="s">
        <v>1049</v>
      </c>
      <c r="C278" s="205" t="s">
        <v>1050</v>
      </c>
      <c r="D278" s="205" t="s">
        <v>99</v>
      </c>
      <c r="E278">
        <v>4.9500000000000002E-2</v>
      </c>
    </row>
    <row r="279" spans="1:5" x14ac:dyDescent="0.25">
      <c r="A279">
        <v>533</v>
      </c>
      <c r="B279" s="27" t="s">
        <v>1089</v>
      </c>
      <c r="C279" s="205" t="s">
        <v>871</v>
      </c>
      <c r="D279" s="205" t="s">
        <v>921</v>
      </c>
      <c r="E279">
        <v>4.5100000000000001E-2</v>
      </c>
    </row>
    <row r="280" spans="1:5" x14ac:dyDescent="0.25">
      <c r="A280">
        <v>1100</v>
      </c>
      <c r="B280" s="27" t="s">
        <v>1282</v>
      </c>
      <c r="C280" s="205" t="s">
        <v>1244</v>
      </c>
      <c r="D280" s="205" t="s">
        <v>1047</v>
      </c>
      <c r="E280">
        <v>4.8800000000000003E-2</v>
      </c>
    </row>
    <row r="281" spans="1:5" x14ac:dyDescent="0.25">
      <c r="A281">
        <v>178</v>
      </c>
      <c r="B281" s="27" t="s">
        <v>926</v>
      </c>
      <c r="C281" s="205" t="s">
        <v>871</v>
      </c>
      <c r="D281" s="205" t="s">
        <v>921</v>
      </c>
      <c r="E281">
        <v>4.5100000000000001E-2</v>
      </c>
    </row>
    <row r="282" spans="1:5" x14ac:dyDescent="0.25">
      <c r="A282">
        <v>1098</v>
      </c>
      <c r="B282" s="27" t="s">
        <v>1280</v>
      </c>
      <c r="C282" s="205" t="s">
        <v>753</v>
      </c>
      <c r="D282" s="205" t="s">
        <v>1047</v>
      </c>
      <c r="E282">
        <v>4.5199999999999997E-2</v>
      </c>
    </row>
    <row r="283" spans="1:5" x14ac:dyDescent="0.25">
      <c r="A283">
        <v>694</v>
      </c>
      <c r="B283" s="27" t="s">
        <v>1133</v>
      </c>
      <c r="C283" s="205" t="s">
        <v>38</v>
      </c>
      <c r="D283" s="205" t="s">
        <v>1129</v>
      </c>
      <c r="E283">
        <v>1.11E-2</v>
      </c>
    </row>
    <row r="284" spans="1:5" x14ac:dyDescent="0.25">
      <c r="A284">
        <v>622</v>
      </c>
      <c r="B284" s="27" t="s">
        <v>1117</v>
      </c>
      <c r="C284" s="205" t="s">
        <v>981</v>
      </c>
      <c r="D284" s="205" t="s">
        <v>925</v>
      </c>
      <c r="E284">
        <v>4.4499999999999998E-2</v>
      </c>
    </row>
    <row r="285" spans="1:5" x14ac:dyDescent="0.25">
      <c r="A285">
        <v>264</v>
      </c>
      <c r="B285" s="27" t="s">
        <v>980</v>
      </c>
      <c r="C285" s="205" t="s">
        <v>981</v>
      </c>
      <c r="D285" s="205" t="s">
        <v>925</v>
      </c>
      <c r="E285">
        <v>4.4499999999999998E-2</v>
      </c>
    </row>
    <row r="286" spans="1:5" x14ac:dyDescent="0.25">
      <c r="A286">
        <v>630</v>
      </c>
      <c r="B286" s="27" t="s">
        <v>1125</v>
      </c>
      <c r="C286" s="205" t="s">
        <v>999</v>
      </c>
      <c r="D286" s="205" t="s">
        <v>933</v>
      </c>
      <c r="E286">
        <v>5.3800000000000001E-2</v>
      </c>
    </row>
    <row r="287" spans="1:5" x14ac:dyDescent="0.25">
      <c r="A287">
        <v>272</v>
      </c>
      <c r="B287" s="27" t="s">
        <v>998</v>
      </c>
      <c r="C287" s="205" t="s">
        <v>999</v>
      </c>
      <c r="D287" s="205" t="s">
        <v>933</v>
      </c>
      <c r="E287">
        <v>5.3800000000000001E-2</v>
      </c>
    </row>
    <row r="288" spans="1:5" x14ac:dyDescent="0.25">
      <c r="A288">
        <v>512</v>
      </c>
      <c r="B288" s="27" t="s">
        <v>1068</v>
      </c>
      <c r="C288" s="205" t="s">
        <v>837</v>
      </c>
      <c r="D288" s="205" t="s">
        <v>890</v>
      </c>
      <c r="E288">
        <v>3.2300000000000002E-2</v>
      </c>
    </row>
    <row r="289" spans="1:5" x14ac:dyDescent="0.25">
      <c r="A289">
        <v>1076</v>
      </c>
      <c r="B289" s="27" t="s">
        <v>1258</v>
      </c>
      <c r="C289" s="205" t="s">
        <v>1228</v>
      </c>
      <c r="D289" s="205" t="s">
        <v>1024</v>
      </c>
      <c r="E289">
        <v>3.4299999999999997E-2</v>
      </c>
    </row>
    <row r="290" spans="1:5" x14ac:dyDescent="0.25">
      <c r="A290">
        <v>157</v>
      </c>
      <c r="B290" s="27" t="s">
        <v>898</v>
      </c>
      <c r="C290" s="205" t="s">
        <v>837</v>
      </c>
      <c r="D290" s="205" t="s">
        <v>890</v>
      </c>
      <c r="E290">
        <v>3.2300000000000002E-2</v>
      </c>
    </row>
    <row r="291" spans="1:5" x14ac:dyDescent="0.25">
      <c r="A291">
        <v>74</v>
      </c>
      <c r="B291" s="27" t="s">
        <v>852</v>
      </c>
      <c r="C291" s="205" t="s">
        <v>847</v>
      </c>
      <c r="D291" s="205" t="s">
        <v>87</v>
      </c>
      <c r="E291">
        <v>3.85E-2</v>
      </c>
    </row>
    <row r="292" spans="1:5" x14ac:dyDescent="0.25">
      <c r="A292">
        <v>351</v>
      </c>
      <c r="B292" s="27" t="s">
        <v>1032</v>
      </c>
      <c r="C292" s="205" t="s">
        <v>1033</v>
      </c>
      <c r="D292" s="205" t="s">
        <v>87</v>
      </c>
      <c r="E292">
        <v>3.85E-2</v>
      </c>
    </row>
    <row r="293" spans="1:5" x14ac:dyDescent="0.25">
      <c r="A293">
        <v>516</v>
      </c>
      <c r="B293" s="27" t="s">
        <v>1072</v>
      </c>
      <c r="C293" s="205" t="s">
        <v>847</v>
      </c>
      <c r="D293" s="205" t="s">
        <v>903</v>
      </c>
      <c r="E293">
        <v>3.49E-2</v>
      </c>
    </row>
    <row r="294" spans="1:5" x14ac:dyDescent="0.25">
      <c r="A294">
        <v>1080</v>
      </c>
      <c r="B294" s="27" t="s">
        <v>1262</v>
      </c>
      <c r="C294" s="205" t="s">
        <v>1129</v>
      </c>
      <c r="D294" s="205" t="s">
        <v>1033</v>
      </c>
      <c r="E294">
        <v>3.6400000000000002E-2</v>
      </c>
    </row>
    <row r="295" spans="1:5" x14ac:dyDescent="0.25">
      <c r="A295">
        <v>161</v>
      </c>
      <c r="B295" s="27" t="s">
        <v>902</v>
      </c>
      <c r="C295" s="205" t="s">
        <v>847</v>
      </c>
      <c r="D295" s="205" t="s">
        <v>903</v>
      </c>
      <c r="E295">
        <v>3.49E-2</v>
      </c>
    </row>
    <row r="296" spans="1:5" x14ac:dyDescent="0.25">
      <c r="A296">
        <v>1101</v>
      </c>
      <c r="B296" s="27" t="s">
        <v>1283</v>
      </c>
      <c r="C296" s="205" t="s">
        <v>753</v>
      </c>
      <c r="D296" s="205" t="s">
        <v>1050</v>
      </c>
      <c r="E296">
        <v>4.7699999999999999E-2</v>
      </c>
    </row>
    <row r="297" spans="1:5" x14ac:dyDescent="0.25">
      <c r="A297">
        <v>72</v>
      </c>
      <c r="B297" s="27" t="s">
        <v>849</v>
      </c>
      <c r="C297" s="205" t="s">
        <v>847</v>
      </c>
      <c r="D297" s="205" t="s">
        <v>56</v>
      </c>
      <c r="E297">
        <v>3.9600000000000003E-2</v>
      </c>
    </row>
    <row r="298" spans="1:5" x14ac:dyDescent="0.25">
      <c r="A298">
        <v>62</v>
      </c>
      <c r="B298" s="27" t="s">
        <v>835</v>
      </c>
      <c r="C298" s="205" t="s">
        <v>834</v>
      </c>
      <c r="D298" s="205" t="s">
        <v>71</v>
      </c>
      <c r="E298">
        <v>3.7199999999999997E-2</v>
      </c>
    </row>
    <row r="299" spans="1:5" x14ac:dyDescent="0.25">
      <c r="A299">
        <v>343</v>
      </c>
      <c r="B299" s="27" t="s">
        <v>1022</v>
      </c>
      <c r="C299" s="205" t="s">
        <v>834</v>
      </c>
      <c r="D299" s="205" t="s">
        <v>71</v>
      </c>
      <c r="E299">
        <v>3.7199999999999997E-2</v>
      </c>
    </row>
    <row r="300" spans="1:5" x14ac:dyDescent="0.25">
      <c r="A300">
        <v>1094</v>
      </c>
      <c r="B300" s="27" t="s">
        <v>1276</v>
      </c>
      <c r="C300" s="205" t="s">
        <v>753</v>
      </c>
      <c r="D300" s="205" t="s">
        <v>868</v>
      </c>
      <c r="E300">
        <v>4.3999999999999997E-2</v>
      </c>
    </row>
    <row r="301" spans="1:5" x14ac:dyDescent="0.25">
      <c r="A301">
        <v>623</v>
      </c>
      <c r="B301" s="27" t="s">
        <v>1118</v>
      </c>
      <c r="C301" s="205" t="s">
        <v>983</v>
      </c>
      <c r="D301" t="s">
        <v>921</v>
      </c>
      <c r="E301">
        <v>4.6600000000000003E-2</v>
      </c>
    </row>
    <row r="302" spans="1:5" x14ac:dyDescent="0.25">
      <c r="A302">
        <v>265</v>
      </c>
      <c r="B302" s="27" t="s">
        <v>982</v>
      </c>
      <c r="C302" s="205" t="s">
        <v>983</v>
      </c>
      <c r="D302" t="s">
        <v>921</v>
      </c>
      <c r="E302">
        <v>4.6600000000000003E-2</v>
      </c>
    </row>
    <row r="303" spans="1:5" x14ac:dyDescent="0.25">
      <c r="A303">
        <v>57</v>
      </c>
      <c r="B303" s="27" t="s">
        <v>828</v>
      </c>
      <c r="C303" s="205" t="s">
        <v>826</v>
      </c>
      <c r="D303" s="205" t="s">
        <v>56</v>
      </c>
      <c r="E303">
        <v>3.27E-2</v>
      </c>
    </row>
    <row r="304" spans="1:5" x14ac:dyDescent="0.25">
      <c r="A304">
        <v>338</v>
      </c>
      <c r="B304" s="27" t="s">
        <v>1016</v>
      </c>
      <c r="C304" s="205" t="s">
        <v>1017</v>
      </c>
      <c r="D304" s="205" t="s">
        <v>56</v>
      </c>
      <c r="E304">
        <v>3.27E-2</v>
      </c>
    </row>
    <row r="305" spans="1:5" x14ac:dyDescent="0.25">
      <c r="A305">
        <v>509</v>
      </c>
      <c r="B305" s="27" t="s">
        <v>1065</v>
      </c>
      <c r="C305" s="205" t="s">
        <v>826</v>
      </c>
      <c r="D305" s="205" t="s">
        <v>890</v>
      </c>
      <c r="E305">
        <v>2.9600000000000001E-2</v>
      </c>
    </row>
    <row r="306" spans="1:5" x14ac:dyDescent="0.25">
      <c r="A306">
        <v>1072</v>
      </c>
      <c r="B306" s="27" t="s">
        <v>1254</v>
      </c>
      <c r="C306" s="205" t="s">
        <v>1244</v>
      </c>
      <c r="D306" s="205" t="s">
        <v>1017</v>
      </c>
      <c r="E306">
        <v>3.2000000000000001E-2</v>
      </c>
    </row>
    <row r="307" spans="1:5" x14ac:dyDescent="0.25">
      <c r="A307">
        <v>154</v>
      </c>
      <c r="B307" s="27" t="s">
        <v>894</v>
      </c>
      <c r="C307" s="205" t="s">
        <v>826</v>
      </c>
      <c r="D307" s="205" t="s">
        <v>890</v>
      </c>
      <c r="E307">
        <v>2.9600000000000001E-2</v>
      </c>
    </row>
    <row r="308" spans="1:5" x14ac:dyDescent="0.25">
      <c r="A308">
        <v>691</v>
      </c>
      <c r="B308" s="27" t="s">
        <v>1130</v>
      </c>
      <c r="C308" s="205" t="s">
        <v>749</v>
      </c>
      <c r="D308" s="205" t="s">
        <v>1129</v>
      </c>
      <c r="E308">
        <v>7.0000000000000001E-3</v>
      </c>
    </row>
    <row r="309" spans="1:5" x14ac:dyDescent="0.25">
      <c r="A309">
        <v>69</v>
      </c>
      <c r="B309" s="27" t="s">
        <v>843</v>
      </c>
      <c r="C309" s="205" t="s">
        <v>844</v>
      </c>
      <c r="D309" s="205" t="s">
        <v>87</v>
      </c>
      <c r="E309">
        <v>3.7400000000000003E-2</v>
      </c>
    </row>
    <row r="310" spans="1:5" x14ac:dyDescent="0.25">
      <c r="A310">
        <v>349</v>
      </c>
      <c r="B310" s="27" t="s">
        <v>1029</v>
      </c>
      <c r="C310" s="205" t="s">
        <v>1030</v>
      </c>
      <c r="D310" s="205" t="s">
        <v>87</v>
      </c>
      <c r="E310">
        <v>3.7400000000000003E-2</v>
      </c>
    </row>
    <row r="311" spans="1:5" x14ac:dyDescent="0.25">
      <c r="A311">
        <v>631</v>
      </c>
      <c r="B311" s="27" t="s">
        <v>1126</v>
      </c>
      <c r="C311" s="205" t="s">
        <v>1001</v>
      </c>
      <c r="D311" s="205" t="s">
        <v>933</v>
      </c>
      <c r="E311">
        <v>5.9400000000000001E-2</v>
      </c>
    </row>
    <row r="312" spans="1:5" x14ac:dyDescent="0.25">
      <c r="A312">
        <v>273</v>
      </c>
      <c r="B312" s="27" t="s">
        <v>1000</v>
      </c>
      <c r="C312" s="205" t="s">
        <v>1001</v>
      </c>
      <c r="D312" s="205" t="s">
        <v>933</v>
      </c>
      <c r="E312">
        <v>5.9400000000000001E-2</v>
      </c>
    </row>
    <row r="313" spans="1:5" x14ac:dyDescent="0.25">
      <c r="A313">
        <v>1066</v>
      </c>
      <c r="B313" s="27" t="s">
        <v>1248</v>
      </c>
      <c r="C313" s="205" t="s">
        <v>1228</v>
      </c>
      <c r="D313" s="205" t="s">
        <v>819</v>
      </c>
      <c r="E313">
        <v>2.93E-2</v>
      </c>
    </row>
    <row r="314" spans="1:5" x14ac:dyDescent="0.25">
      <c r="A314">
        <v>624</v>
      </c>
      <c r="B314" s="27" t="s">
        <v>1119</v>
      </c>
      <c r="C314" s="205" t="s">
        <v>985</v>
      </c>
      <c r="D314" s="205" t="s">
        <v>925</v>
      </c>
      <c r="E314">
        <v>4.5900000000000003E-2</v>
      </c>
    </row>
    <row r="315" spans="1:5" x14ac:dyDescent="0.25">
      <c r="A315">
        <v>266</v>
      </c>
      <c r="B315" s="27" t="s">
        <v>984</v>
      </c>
      <c r="C315" s="205" t="s">
        <v>985</v>
      </c>
      <c r="D315" s="205" t="s">
        <v>925</v>
      </c>
      <c r="E315">
        <v>4.5900000000000003E-2</v>
      </c>
    </row>
    <row r="316" spans="1:5" x14ac:dyDescent="0.25">
      <c r="A316">
        <v>527</v>
      </c>
      <c r="B316" s="27" t="s">
        <v>1083</v>
      </c>
      <c r="C316" s="205" t="s">
        <v>864</v>
      </c>
      <c r="D316" s="205" t="s">
        <v>53</v>
      </c>
      <c r="E316">
        <v>3.9399999999999998E-2</v>
      </c>
    </row>
    <row r="317" spans="1:5" x14ac:dyDescent="0.25">
      <c r="A317">
        <v>1091</v>
      </c>
      <c r="B317" s="27" t="s">
        <v>1273</v>
      </c>
      <c r="C317" s="205" t="s">
        <v>753</v>
      </c>
      <c r="D317" s="205" t="s">
        <v>1043</v>
      </c>
      <c r="E317">
        <v>4.2700000000000002E-2</v>
      </c>
    </row>
    <row r="318" spans="1:5" x14ac:dyDescent="0.25">
      <c r="A318">
        <v>172</v>
      </c>
      <c r="B318" s="27" t="s">
        <v>917</v>
      </c>
      <c r="C318" s="205" t="s">
        <v>864</v>
      </c>
      <c r="D318" s="205" t="s">
        <v>53</v>
      </c>
      <c r="E318">
        <v>3.9399999999999998E-2</v>
      </c>
    </row>
    <row r="319" spans="1:5" x14ac:dyDescent="0.25">
      <c r="A319">
        <v>82</v>
      </c>
      <c r="B319" s="27" t="s">
        <v>863</v>
      </c>
      <c r="C319" s="205" t="s">
        <v>864</v>
      </c>
      <c r="D319" s="205" t="s">
        <v>74</v>
      </c>
      <c r="E319">
        <v>4.2700000000000002E-2</v>
      </c>
    </row>
    <row r="320" spans="1:5" x14ac:dyDescent="0.25">
      <c r="A320">
        <v>1104</v>
      </c>
      <c r="B320" s="27" t="s">
        <v>1286</v>
      </c>
      <c r="C320" s="205" t="s">
        <v>753</v>
      </c>
      <c r="D320" s="205" t="s">
        <v>1054</v>
      </c>
      <c r="E320">
        <v>5.0200000000000002E-2</v>
      </c>
    </row>
    <row r="321" spans="1:5" x14ac:dyDescent="0.25">
      <c r="A321">
        <v>698</v>
      </c>
      <c r="B321" s="27" t="s">
        <v>1137</v>
      </c>
      <c r="C321" s="205" t="s">
        <v>1138</v>
      </c>
      <c r="D321" s="205" t="s">
        <v>1129</v>
      </c>
      <c r="E321">
        <v>1.7100000000000001E-2</v>
      </c>
    </row>
    <row r="322" spans="1:5" x14ac:dyDescent="0.25">
      <c r="A322">
        <v>518</v>
      </c>
      <c r="B322" s="27" t="s">
        <v>1074</v>
      </c>
      <c r="C322" s="205" t="s">
        <v>855</v>
      </c>
      <c r="D322" s="205" t="s">
        <v>53</v>
      </c>
      <c r="E322">
        <v>3.56E-2</v>
      </c>
    </row>
    <row r="323" spans="1:5" x14ac:dyDescent="0.25">
      <c r="A323">
        <v>1082</v>
      </c>
      <c r="B323" s="27" t="s">
        <v>1264</v>
      </c>
      <c r="C323" s="205" t="s">
        <v>753</v>
      </c>
      <c r="D323" s="205" t="s">
        <v>855</v>
      </c>
      <c r="E323">
        <v>3.8899999999999997E-2</v>
      </c>
    </row>
    <row r="324" spans="1:5" x14ac:dyDescent="0.25">
      <c r="A324">
        <v>163</v>
      </c>
      <c r="B324" s="27" t="s">
        <v>905</v>
      </c>
      <c r="C324" s="205" t="s">
        <v>855</v>
      </c>
      <c r="D324" s="205" t="s">
        <v>53</v>
      </c>
      <c r="E324">
        <v>3.56E-2</v>
      </c>
    </row>
    <row r="325" spans="1:5" x14ac:dyDescent="0.25">
      <c r="A325">
        <v>1049</v>
      </c>
      <c r="B325" s="27" t="s">
        <v>1227</v>
      </c>
      <c r="C325" s="205" t="s">
        <v>1228</v>
      </c>
      <c r="D325" s="205" t="s">
        <v>1229</v>
      </c>
      <c r="E325">
        <v>2.0299999999999999E-2</v>
      </c>
    </row>
    <row r="326" spans="1:5" x14ac:dyDescent="0.25">
      <c r="A326">
        <v>618</v>
      </c>
      <c r="B326" s="27" t="s">
        <v>1113</v>
      </c>
      <c r="C326" s="205" t="s">
        <v>973</v>
      </c>
      <c r="D326" t="s">
        <v>911</v>
      </c>
      <c r="E326">
        <v>4.24E-2</v>
      </c>
    </row>
    <row r="327" spans="1:5" x14ac:dyDescent="0.25">
      <c r="A327">
        <v>260</v>
      </c>
      <c r="B327" s="27" t="s">
        <v>972</v>
      </c>
      <c r="C327" s="205" t="s">
        <v>973</v>
      </c>
      <c r="D327" t="s">
        <v>911</v>
      </c>
      <c r="E327">
        <v>4.24E-2</v>
      </c>
    </row>
    <row r="328" spans="1:5" x14ac:dyDescent="0.25">
      <c r="A328">
        <v>61</v>
      </c>
      <c r="B328" s="27" t="s">
        <v>833</v>
      </c>
      <c r="C328" s="205" t="s">
        <v>834</v>
      </c>
      <c r="D328" s="205" t="s">
        <v>48</v>
      </c>
      <c r="E328">
        <v>3.5499999999999997E-2</v>
      </c>
    </row>
    <row r="329" spans="1:5" x14ac:dyDescent="0.25">
      <c r="A329">
        <v>342</v>
      </c>
      <c r="B329" s="27" t="s">
        <v>1021</v>
      </c>
      <c r="C329" s="205" t="s">
        <v>834</v>
      </c>
      <c r="D329" s="205" t="s">
        <v>48</v>
      </c>
      <c r="E329">
        <v>3.5499999999999997E-2</v>
      </c>
    </row>
    <row r="330" spans="1:5" x14ac:dyDescent="0.25">
      <c r="A330">
        <v>1057</v>
      </c>
      <c r="B330" s="27" t="s">
        <v>1238</v>
      </c>
      <c r="C330" s="205" t="s">
        <v>1228</v>
      </c>
      <c r="D330" s="205" t="s">
        <v>809</v>
      </c>
      <c r="E330">
        <v>2.4899999999999999E-2</v>
      </c>
    </row>
    <row r="331" spans="1:5" x14ac:dyDescent="0.25">
      <c r="A331">
        <v>1065</v>
      </c>
      <c r="B331" s="27" t="s">
        <v>1247</v>
      </c>
      <c r="C331" s="205" t="s">
        <v>1129</v>
      </c>
      <c r="D331" s="205" t="s">
        <v>819</v>
      </c>
      <c r="E331">
        <v>2.8500000000000001E-2</v>
      </c>
    </row>
    <row r="332" spans="1:5" x14ac:dyDescent="0.25">
      <c r="A332">
        <v>608</v>
      </c>
      <c r="B332" s="27" t="s">
        <v>1103</v>
      </c>
      <c r="C332" s="205" t="s">
        <v>952</v>
      </c>
      <c r="D332" s="205" t="s">
        <v>953</v>
      </c>
      <c r="E332">
        <v>3.73E-2</v>
      </c>
    </row>
    <row r="333" spans="1:5" x14ac:dyDescent="0.25">
      <c r="A333">
        <v>250</v>
      </c>
      <c r="B333" s="27" t="s">
        <v>951</v>
      </c>
      <c r="C333" s="205" t="s">
        <v>952</v>
      </c>
      <c r="D333" s="205" t="s">
        <v>953</v>
      </c>
      <c r="E333">
        <v>3.73E-2</v>
      </c>
    </row>
    <row r="334" spans="1:5" x14ac:dyDescent="0.25">
      <c r="A334">
        <v>55</v>
      </c>
      <c r="B334" s="27" t="s">
        <v>825</v>
      </c>
      <c r="C334" s="205" t="s">
        <v>826</v>
      </c>
      <c r="D334" s="205" t="s">
        <v>74</v>
      </c>
      <c r="E334">
        <v>0.03</v>
      </c>
    </row>
    <row r="335" spans="1:5" x14ac:dyDescent="0.25">
      <c r="A335">
        <v>708</v>
      </c>
      <c r="B335" s="27" t="s">
        <v>1152</v>
      </c>
      <c r="C335" s="205" t="s">
        <v>813</v>
      </c>
      <c r="D335" s="205" t="s">
        <v>1153</v>
      </c>
      <c r="E335">
        <v>2.5399999999999999E-2</v>
      </c>
    </row>
    <row r="336" spans="1:5" x14ac:dyDescent="0.25">
      <c r="A336">
        <v>64</v>
      </c>
      <c r="B336" s="27" t="s">
        <v>838</v>
      </c>
      <c r="C336" s="205" t="s">
        <v>837</v>
      </c>
      <c r="D336" s="205" t="s">
        <v>87</v>
      </c>
      <c r="E336">
        <v>3.5200000000000002E-2</v>
      </c>
    </row>
    <row r="337" spans="1:5" x14ac:dyDescent="0.25">
      <c r="A337">
        <v>344</v>
      </c>
      <c r="B337" s="27" t="s">
        <v>1023</v>
      </c>
      <c r="C337" s="205" t="s">
        <v>1024</v>
      </c>
      <c r="D337" s="205" t="s">
        <v>87</v>
      </c>
      <c r="E337">
        <v>3.5200000000000002E-2</v>
      </c>
    </row>
    <row r="338" spans="1:5" x14ac:dyDescent="0.25">
      <c r="A338">
        <v>511</v>
      </c>
      <c r="B338" s="27" t="s">
        <v>1067</v>
      </c>
      <c r="C338" s="205" t="s">
        <v>837</v>
      </c>
      <c r="D338" s="205" t="s">
        <v>897</v>
      </c>
      <c r="E338">
        <v>3.1199999999999999E-2</v>
      </c>
    </row>
    <row r="339" spans="1:5" x14ac:dyDescent="0.25">
      <c r="A339">
        <v>1075</v>
      </c>
      <c r="B339" s="27" t="s">
        <v>1257</v>
      </c>
      <c r="C339" s="205" t="s">
        <v>1129</v>
      </c>
      <c r="D339" s="205" t="s">
        <v>1024</v>
      </c>
      <c r="E339">
        <v>3.3300000000000003E-2</v>
      </c>
    </row>
    <row r="340" spans="1:5" x14ac:dyDescent="0.25">
      <c r="A340">
        <v>156</v>
      </c>
      <c r="B340" s="27" t="s">
        <v>896</v>
      </c>
      <c r="C340" s="205" t="s">
        <v>837</v>
      </c>
      <c r="D340" s="205" t="s">
        <v>897</v>
      </c>
      <c r="E340">
        <v>3.1199999999999999E-2</v>
      </c>
    </row>
    <row r="341" spans="1:5" x14ac:dyDescent="0.25">
      <c r="A341">
        <v>617</v>
      </c>
      <c r="B341" s="27" t="s">
        <v>1112</v>
      </c>
      <c r="C341" s="205" t="s">
        <v>971</v>
      </c>
      <c r="D341" s="205" t="s">
        <v>921</v>
      </c>
      <c r="E341">
        <v>4.36E-2</v>
      </c>
    </row>
    <row r="342" spans="1:5" x14ac:dyDescent="0.25">
      <c r="A342">
        <v>259</v>
      </c>
      <c r="B342" s="27" t="s">
        <v>970</v>
      </c>
      <c r="C342" s="205" t="s">
        <v>971</v>
      </c>
      <c r="D342" s="205" t="s">
        <v>921</v>
      </c>
      <c r="E342">
        <v>4.36E-2</v>
      </c>
    </row>
    <row r="343" spans="1:5" x14ac:dyDescent="0.25">
      <c r="A343">
        <v>95</v>
      </c>
      <c r="B343" s="27" t="s">
        <v>884</v>
      </c>
      <c r="C343" s="205" t="s">
        <v>885</v>
      </c>
      <c r="D343" s="205" t="s">
        <v>886</v>
      </c>
      <c r="E343">
        <v>0.06</v>
      </c>
    </row>
    <row r="344" spans="1:5" x14ac:dyDescent="0.25">
      <c r="A344">
        <v>370</v>
      </c>
      <c r="B344" s="27" t="s">
        <v>1059</v>
      </c>
      <c r="C344" s="205" t="s">
        <v>1060</v>
      </c>
      <c r="D344" s="205" t="s">
        <v>886</v>
      </c>
      <c r="E344">
        <v>0.06</v>
      </c>
    </row>
    <row r="345" spans="1:5" x14ac:dyDescent="0.25">
      <c r="A345">
        <v>1047</v>
      </c>
      <c r="B345" s="27" t="s">
        <v>1225</v>
      </c>
      <c r="C345" s="205" t="s">
        <v>753</v>
      </c>
      <c r="D345" s="205" t="s">
        <v>802</v>
      </c>
      <c r="E345">
        <v>1.95E-2</v>
      </c>
    </row>
    <row r="346" spans="1:5" x14ac:dyDescent="0.25">
      <c r="A346">
        <v>1061</v>
      </c>
      <c r="B346" s="27" t="s">
        <v>1242</v>
      </c>
      <c r="C346" s="205" t="s">
        <v>1228</v>
      </c>
      <c r="D346" s="205" t="s">
        <v>1008</v>
      </c>
      <c r="E346">
        <v>2.7400000000000001E-2</v>
      </c>
    </row>
    <row r="347" spans="1:5" x14ac:dyDescent="0.25">
      <c r="A347">
        <v>73</v>
      </c>
      <c r="B347" s="27" t="s">
        <v>850</v>
      </c>
      <c r="C347" s="205" t="s">
        <v>847</v>
      </c>
      <c r="D347" s="205" t="s">
        <v>851</v>
      </c>
      <c r="E347">
        <v>3.9100000000000003E-2</v>
      </c>
    </row>
    <row r="348" spans="1:5" x14ac:dyDescent="0.25">
      <c r="A348">
        <v>736</v>
      </c>
      <c r="B348" s="27" t="s">
        <v>1192</v>
      </c>
      <c r="C348" s="205" t="s">
        <v>1193</v>
      </c>
      <c r="D348" s="205" t="s">
        <v>1194</v>
      </c>
      <c r="E348">
        <v>6.4600000000000005E-2</v>
      </c>
    </row>
    <row r="349" spans="1:5" x14ac:dyDescent="0.25">
      <c r="A349">
        <v>615</v>
      </c>
      <c r="B349" s="27" t="s">
        <v>1110</v>
      </c>
      <c r="C349" s="205" t="s">
        <v>967</v>
      </c>
      <c r="D349" s="205" t="s">
        <v>53</v>
      </c>
      <c r="E349">
        <v>4.0899999999999999E-2</v>
      </c>
    </row>
    <row r="350" spans="1:5" x14ac:dyDescent="0.25">
      <c r="A350">
        <v>257</v>
      </c>
      <c r="B350" s="27" t="s">
        <v>966</v>
      </c>
      <c r="C350" s="205" t="s">
        <v>967</v>
      </c>
      <c r="D350" s="205" t="s">
        <v>53</v>
      </c>
      <c r="E350">
        <v>4.0899999999999999E-2</v>
      </c>
    </row>
    <row r="351" spans="1:5" x14ac:dyDescent="0.25">
      <c r="A351">
        <v>703</v>
      </c>
      <c r="B351" s="27" t="s">
        <v>1145</v>
      </c>
      <c r="C351" s="205" t="s">
        <v>805</v>
      </c>
      <c r="D351" s="205" t="s">
        <v>1140</v>
      </c>
      <c r="E351">
        <v>2.1000000000000001E-2</v>
      </c>
    </row>
    <row r="352" spans="1:5" x14ac:dyDescent="0.25">
      <c r="A352">
        <v>699</v>
      </c>
      <c r="B352" s="27" t="s">
        <v>1139</v>
      </c>
      <c r="C352" s="205" t="s">
        <v>1138</v>
      </c>
      <c r="D352" s="205" t="s">
        <v>1140</v>
      </c>
      <c r="E352">
        <v>1.8100000000000002E-2</v>
      </c>
    </row>
    <row r="353" spans="1:5" x14ac:dyDescent="0.25">
      <c r="A353">
        <v>715</v>
      </c>
      <c r="B353" s="27" t="s">
        <v>1163</v>
      </c>
      <c r="C353" s="205" t="s">
        <v>1164</v>
      </c>
      <c r="D353" s="205" t="s">
        <v>1153</v>
      </c>
      <c r="E353">
        <v>3.0800000000000001E-2</v>
      </c>
    </row>
    <row r="354" spans="1:5" x14ac:dyDescent="0.25">
      <c r="A354">
        <v>716</v>
      </c>
      <c r="B354" s="27" t="s">
        <v>1165</v>
      </c>
      <c r="C354" s="205" t="s">
        <v>834</v>
      </c>
      <c r="D354" s="205" t="s">
        <v>1153</v>
      </c>
      <c r="E354">
        <v>3.1199999999999999E-2</v>
      </c>
    </row>
    <row r="355" spans="1:5" x14ac:dyDescent="0.25">
      <c r="A355">
        <v>603</v>
      </c>
      <c r="B355" s="27" t="s">
        <v>1098</v>
      </c>
      <c r="C355" s="205" t="s">
        <v>944</v>
      </c>
      <c r="D355" s="205" t="s">
        <v>848</v>
      </c>
      <c r="E355">
        <v>3.3000000000000002E-2</v>
      </c>
    </row>
    <row r="356" spans="1:5" x14ac:dyDescent="0.25">
      <c r="A356">
        <v>246</v>
      </c>
      <c r="B356" s="27" t="s">
        <v>943</v>
      </c>
      <c r="C356" s="205" t="s">
        <v>944</v>
      </c>
      <c r="D356" s="205" t="s">
        <v>848</v>
      </c>
      <c r="E356">
        <v>3.3000000000000002E-2</v>
      </c>
    </row>
    <row r="357" spans="1:5" x14ac:dyDescent="0.25">
      <c r="A357">
        <v>38</v>
      </c>
      <c r="B357" s="27" t="s">
        <v>801</v>
      </c>
      <c r="C357" s="205" t="s">
        <v>802</v>
      </c>
      <c r="D357" s="205" t="s">
        <v>46</v>
      </c>
      <c r="E357">
        <v>1.9699999999999999E-2</v>
      </c>
    </row>
    <row r="358" spans="1:5" x14ac:dyDescent="0.25">
      <c r="A358">
        <v>1053</v>
      </c>
      <c r="B358" s="27" t="s">
        <v>1234</v>
      </c>
      <c r="C358" s="205" t="s">
        <v>1228</v>
      </c>
      <c r="D358" s="205" t="s">
        <v>805</v>
      </c>
      <c r="E358">
        <v>2.3E-2</v>
      </c>
    </row>
    <row r="359" spans="1:5" x14ac:dyDescent="0.25">
      <c r="A359">
        <v>614</v>
      </c>
      <c r="B359" s="27" t="s">
        <v>1109</v>
      </c>
      <c r="C359" s="205" t="s">
        <v>965</v>
      </c>
      <c r="D359" s="205" t="s">
        <v>913</v>
      </c>
      <c r="E359">
        <v>4.2000000000000003E-2</v>
      </c>
    </row>
    <row r="360" spans="1:5" x14ac:dyDescent="0.25">
      <c r="A360">
        <v>256</v>
      </c>
      <c r="B360" s="27" t="s">
        <v>964</v>
      </c>
      <c r="C360" s="205" t="s">
        <v>965</v>
      </c>
      <c r="D360" s="205" t="s">
        <v>913</v>
      </c>
      <c r="E360">
        <v>4.2000000000000003E-2</v>
      </c>
    </row>
    <row r="361" spans="1:5" x14ac:dyDescent="0.25">
      <c r="A361">
        <v>709</v>
      </c>
      <c r="B361" s="27" t="s">
        <v>1154</v>
      </c>
      <c r="C361" s="205" t="s">
        <v>1155</v>
      </c>
      <c r="D361" s="205" t="s">
        <v>1140</v>
      </c>
      <c r="E361">
        <v>2.5600000000000001E-2</v>
      </c>
    </row>
  </sheetData>
  <sortState ref="A2:E361">
    <sortCondition ref="B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16"/>
  <sheetViews>
    <sheetView tabSelected="1" zoomScaleNormal="100" workbookViewId="0">
      <selection activeCell="C1" sqref="C1"/>
    </sheetView>
  </sheetViews>
  <sheetFormatPr defaultRowHeight="15" x14ac:dyDescent="0.25"/>
  <cols>
    <col min="1" max="1" width="10.7109375" style="118" customWidth="1"/>
    <col min="2" max="2" width="40" style="3" customWidth="1"/>
    <col min="3" max="3" width="19" bestFit="1" customWidth="1"/>
    <col min="4" max="5" width="11.42578125" bestFit="1" customWidth="1"/>
    <col min="6" max="6" width="12.7109375" bestFit="1" customWidth="1"/>
    <col min="7" max="7" width="13.140625" bestFit="1" customWidth="1"/>
    <col min="8" max="9" width="12" bestFit="1" customWidth="1"/>
    <col min="10" max="14" width="10.5703125" bestFit="1" customWidth="1"/>
    <col min="15" max="15" width="9.140625" customWidth="1"/>
  </cols>
  <sheetData>
    <row r="1" spans="1:15" ht="23.25" x14ac:dyDescent="0.35">
      <c r="A1" s="119"/>
      <c r="B1" s="120" t="s">
        <v>474</v>
      </c>
      <c r="C1" s="262" t="s">
        <v>475</v>
      </c>
      <c r="D1" s="121"/>
      <c r="E1" s="121"/>
      <c r="F1" s="121"/>
      <c r="G1" s="121"/>
      <c r="H1" s="121"/>
      <c r="I1" s="121"/>
      <c r="J1" s="122"/>
    </row>
    <row r="2" spans="1:15" x14ac:dyDescent="0.25">
      <c r="A2" s="206" t="s">
        <v>425</v>
      </c>
      <c r="B2" s="3" t="s">
        <v>426</v>
      </c>
      <c r="C2" s="257" t="s">
        <v>780</v>
      </c>
      <c r="D2" t="s">
        <v>427</v>
      </c>
    </row>
    <row r="3" spans="1:15" x14ac:dyDescent="0.25">
      <c r="A3" s="206"/>
      <c r="B3" s="3" t="s">
        <v>330</v>
      </c>
      <c r="C3" s="190">
        <f>LOOKUP($C$2,{"Heavy",4;"Light",9;"Medium",4})</f>
        <v>4</v>
      </c>
    </row>
    <row r="4" spans="1:15" x14ac:dyDescent="0.25">
      <c r="A4" s="206"/>
      <c r="B4" s="3" t="s">
        <v>428</v>
      </c>
      <c r="C4" s="190">
        <f>LOOKUP($C$2,{"Heavy",0.5;"Light",0;"Medium",0.25})</f>
        <v>0.25</v>
      </c>
    </row>
    <row r="5" spans="1:15" ht="60" x14ac:dyDescent="0.25">
      <c r="A5" s="206"/>
      <c r="B5" s="3" t="s">
        <v>345</v>
      </c>
      <c r="C5" s="257" t="s">
        <v>346</v>
      </c>
      <c r="D5" s="62" t="s">
        <v>307</v>
      </c>
      <c r="E5" s="62" t="s">
        <v>418</v>
      </c>
      <c r="F5" s="62" t="s">
        <v>419</v>
      </c>
      <c r="G5" s="62" t="s">
        <v>420</v>
      </c>
      <c r="H5" s="62" t="s">
        <v>421</v>
      </c>
      <c r="I5" s="62" t="s">
        <v>422</v>
      </c>
      <c r="J5" s="86"/>
      <c r="K5" s="86"/>
      <c r="L5" s="86"/>
      <c r="M5" s="86"/>
      <c r="N5" s="86"/>
      <c r="O5" s="86"/>
    </row>
    <row r="6" spans="1:15" x14ac:dyDescent="0.25">
      <c r="A6" s="206"/>
      <c r="B6" s="3" t="s">
        <v>424</v>
      </c>
      <c r="D6" s="2">
        <f>HLOOKUP($C$5,NESC235.1,2,FALSE)</f>
        <v>1.5</v>
      </c>
      <c r="E6" s="2">
        <f>HLOOKUP($C$5,NESC235.1,3,FALSE)</f>
        <v>2.5</v>
      </c>
      <c r="F6" s="2">
        <f>HLOOKUP($C$5,NESC235.1,4,FALSE)</f>
        <v>1.65</v>
      </c>
      <c r="G6" s="2">
        <f>HLOOKUP($C$5,NESC235.1,5,FALSE)</f>
        <v>1.1000000000000001</v>
      </c>
      <c r="H6" s="2">
        <f>HLOOKUP($C$5,NESC235.1,6,FALSE)</f>
        <v>1.65</v>
      </c>
      <c r="I6" s="2">
        <f>HLOOKUP($C$5,NESC235.1,7,FALSE)</f>
        <v>1.65</v>
      </c>
    </row>
    <row r="7" spans="1:15" ht="60" x14ac:dyDescent="0.25">
      <c r="A7" s="206"/>
      <c r="D7" s="62" t="s">
        <v>333</v>
      </c>
      <c r="E7" s="62" t="s">
        <v>334</v>
      </c>
      <c r="F7" s="62" t="s">
        <v>335</v>
      </c>
      <c r="G7" s="62" t="s">
        <v>336</v>
      </c>
      <c r="H7" s="62" t="s">
        <v>337</v>
      </c>
      <c r="I7" s="3"/>
    </row>
    <row r="8" spans="1:15" x14ac:dyDescent="0.25">
      <c r="A8" s="206"/>
      <c r="B8" s="89" t="s">
        <v>433</v>
      </c>
      <c r="C8" s="258" t="s">
        <v>358</v>
      </c>
      <c r="D8" s="90">
        <f>HLOOKUP($C$5,NESC261.1,2,FALSE)</f>
        <v>1</v>
      </c>
      <c r="E8" s="90">
        <f>HLOOKUP($C$5,NESC261.1,3,FALSE)</f>
        <v>0.65</v>
      </c>
      <c r="F8" s="90">
        <f>HLOOKUP($C$5,NESC261.1,4,FALSE)</f>
        <v>1</v>
      </c>
      <c r="G8" s="90">
        <f>HLOOKUP($C$5,NESC261.1,5,FALSE)</f>
        <v>0.9</v>
      </c>
      <c r="H8" s="90">
        <f>HLOOKUP($C$5,NESC261.1,6,FALSE)</f>
        <v>1</v>
      </c>
      <c r="I8" s="91"/>
      <c r="J8" s="91"/>
      <c r="K8" s="91"/>
      <c r="L8" s="91"/>
      <c r="M8" s="91"/>
      <c r="N8" s="91"/>
    </row>
    <row r="9" spans="1:15" ht="15" customHeight="1" thickBot="1" x14ac:dyDescent="0.3">
      <c r="A9" s="207"/>
      <c r="B9" s="92" t="s">
        <v>7</v>
      </c>
      <c r="C9" s="196">
        <f>LOOKUP(C8,{"",1;"",1;"Wood",8000})</f>
        <v>8000</v>
      </c>
      <c r="D9" s="93"/>
      <c r="E9" s="93"/>
      <c r="F9" s="93"/>
      <c r="G9" s="93"/>
      <c r="H9" s="93"/>
      <c r="I9" s="93"/>
      <c r="J9" s="93"/>
      <c r="K9" s="93"/>
      <c r="L9" s="93"/>
      <c r="M9" s="93"/>
      <c r="N9" s="93"/>
    </row>
    <row r="10" spans="1:15" ht="15.75" thickTop="1" x14ac:dyDescent="0.25">
      <c r="A10" s="209" t="s">
        <v>295</v>
      </c>
      <c r="B10" s="94" t="s">
        <v>2</v>
      </c>
      <c r="C10" s="259">
        <v>50</v>
      </c>
      <c r="D10" s="95">
        <f>+C10+5</f>
        <v>55</v>
      </c>
      <c r="E10" s="95">
        <f t="shared" ref="E10:N10" si="0">+D10+5</f>
        <v>60</v>
      </c>
      <c r="F10" s="95">
        <f t="shared" si="0"/>
        <v>65</v>
      </c>
      <c r="G10" s="95">
        <f t="shared" si="0"/>
        <v>70</v>
      </c>
      <c r="H10" s="95">
        <f t="shared" si="0"/>
        <v>75</v>
      </c>
      <c r="I10" s="95">
        <f t="shared" si="0"/>
        <v>80</v>
      </c>
      <c r="J10" s="95">
        <f t="shared" si="0"/>
        <v>85</v>
      </c>
      <c r="K10" s="95">
        <f t="shared" si="0"/>
        <v>90</v>
      </c>
      <c r="L10" s="95">
        <f t="shared" si="0"/>
        <v>95</v>
      </c>
      <c r="M10" s="95">
        <f t="shared" si="0"/>
        <v>100</v>
      </c>
      <c r="N10" s="95">
        <f t="shared" si="0"/>
        <v>105</v>
      </c>
    </row>
    <row r="11" spans="1:15" x14ac:dyDescent="0.25">
      <c r="A11" s="206"/>
      <c r="B11" s="89" t="s">
        <v>4</v>
      </c>
      <c r="C11" s="257" t="s">
        <v>297</v>
      </c>
      <c r="D11" s="90" t="str">
        <f>+C11</f>
        <v>H1</v>
      </c>
      <c r="E11" s="90" t="str">
        <f t="shared" ref="E11:N11" si="1">+D11</f>
        <v>H1</v>
      </c>
      <c r="F11" s="90" t="str">
        <f t="shared" si="1"/>
        <v>H1</v>
      </c>
      <c r="G11" s="90" t="str">
        <f t="shared" si="1"/>
        <v>H1</v>
      </c>
      <c r="H11" s="90" t="str">
        <f t="shared" si="1"/>
        <v>H1</v>
      </c>
      <c r="I11" s="90" t="str">
        <f t="shared" si="1"/>
        <v>H1</v>
      </c>
      <c r="J11" s="90" t="str">
        <f t="shared" si="1"/>
        <v>H1</v>
      </c>
      <c r="K11" s="90" t="str">
        <f t="shared" si="1"/>
        <v>H1</v>
      </c>
      <c r="L11" s="90" t="str">
        <f t="shared" si="1"/>
        <v>H1</v>
      </c>
      <c r="M11" s="90" t="str">
        <f t="shared" si="1"/>
        <v>H1</v>
      </c>
      <c r="N11" s="90" t="str">
        <f t="shared" si="1"/>
        <v>H1</v>
      </c>
    </row>
    <row r="12" spans="1:15" x14ac:dyDescent="0.25">
      <c r="A12" s="206"/>
      <c r="B12" s="89" t="s">
        <v>446</v>
      </c>
      <c r="C12" s="96">
        <f>VLOOKUP(C10,Poles,MATCH(C11,'Wood Poles'!$C$2:$M$2,0)+2,FALSE)/PI()</f>
        <v>15.119719593730057</v>
      </c>
      <c r="D12" s="96">
        <f>VLOOKUP(D10,Poles,MATCH(D11,'Wood Poles'!$C$2:$M$2,0)+2,FALSE)/PI()</f>
        <v>15.756339366097638</v>
      </c>
      <c r="E12" s="96">
        <f>VLOOKUP(E10,Poles,MATCH(E11,'Wood Poles'!$C$2:$M$2,0)+2,FALSE)/PI()</f>
        <v>16.233804195373324</v>
      </c>
      <c r="F12" s="96">
        <f>VLOOKUP(F10,Poles,MATCH(F11,'Wood Poles'!$C$2:$M$2,0)+2,FALSE)/PI()</f>
        <v>16.71126902464901</v>
      </c>
      <c r="G12" s="96">
        <f>VLOOKUP(G10,Poles,MATCH(G11,'Wood Poles'!$C$2:$M$2,0)+2,FALSE)/PI()</f>
        <v>17.188733853924695</v>
      </c>
      <c r="H12" s="96">
        <f>VLOOKUP(H10,Poles,MATCH(H11,'Wood Poles'!$C$2:$M$2,0)+2,FALSE)/PI()</f>
        <v>17.666198683200381</v>
      </c>
      <c r="I12" s="96">
        <f>VLOOKUP(I10,Poles,MATCH(I11,'Wood Poles'!$C$2:$M$2,0)+2,FALSE)/PI()</f>
        <v>18.143663512476071</v>
      </c>
      <c r="J12" s="96">
        <f>VLOOKUP(J10,Poles,MATCH(J11,'Wood Poles'!$C$2:$M$2,0)+2,FALSE)/PI()</f>
        <v>18.621128341751756</v>
      </c>
      <c r="K12" s="96">
        <f>VLOOKUP(K10,Poles,MATCH(K11,'Wood Poles'!$C$2:$M$2,0)+2,FALSE)/PI()</f>
        <v>18.939438227935547</v>
      </c>
      <c r="L12" s="96">
        <f>VLOOKUP(L10,Poles,MATCH(L11,'Wood Poles'!$C$2:$M$2,0)+2,FALSE)/PI()</f>
        <v>19.416903057211233</v>
      </c>
      <c r="M12" s="96">
        <f>VLOOKUP(M10,Poles,MATCH(M11,'Wood Poles'!$C$2:$M$2,0)+2,FALSE)/PI()</f>
        <v>19.735212943395023</v>
      </c>
      <c r="N12" s="96">
        <f>VLOOKUP(N10,Poles,MATCH(N11,'Wood Poles'!$C$2:$M$2,0)+2,FALSE)/PI()</f>
        <v>20.053522829578814</v>
      </c>
    </row>
    <row r="13" spans="1:15" x14ac:dyDescent="0.25">
      <c r="A13" s="206"/>
      <c r="B13" s="89" t="s">
        <v>447</v>
      </c>
      <c r="C13" s="97">
        <f t="shared" ref="C13:N13" si="2">HLOOKUP(C11,Poles,2,FALSE)/PI()</f>
        <v>9.2309866993299305</v>
      </c>
      <c r="D13" s="97">
        <f t="shared" si="2"/>
        <v>9.2309866993299305</v>
      </c>
      <c r="E13" s="97">
        <f t="shared" si="2"/>
        <v>9.2309866993299305</v>
      </c>
      <c r="F13" s="97">
        <f t="shared" si="2"/>
        <v>9.2309866993299305</v>
      </c>
      <c r="G13" s="97">
        <f t="shared" si="2"/>
        <v>9.2309866993299305</v>
      </c>
      <c r="H13" s="97">
        <f t="shared" si="2"/>
        <v>9.2309866993299305</v>
      </c>
      <c r="I13" s="97">
        <f t="shared" si="2"/>
        <v>9.2309866993299305</v>
      </c>
      <c r="J13" s="97">
        <f t="shared" si="2"/>
        <v>9.2309866993299305</v>
      </c>
      <c r="K13" s="97">
        <f t="shared" si="2"/>
        <v>9.2309866993299305</v>
      </c>
      <c r="L13" s="97">
        <f t="shared" si="2"/>
        <v>9.2309866993299305</v>
      </c>
      <c r="M13" s="97">
        <f t="shared" si="2"/>
        <v>9.2309866993299305</v>
      </c>
      <c r="N13" s="97">
        <f t="shared" si="2"/>
        <v>9.2309866993299305</v>
      </c>
    </row>
    <row r="14" spans="1:15" x14ac:dyDescent="0.25">
      <c r="A14" s="206"/>
      <c r="B14" s="89" t="s">
        <v>448</v>
      </c>
      <c r="C14" s="96">
        <f>C12-(C12-C13)/(C10-6)*(C10*0.1+2-6)</f>
        <v>14.985884755220964</v>
      </c>
      <c r="D14" s="96">
        <f t="shared" ref="D14:N14" si="3">D12-(D12-D13)/(D10-6)*(D10*0.1+2-6)</f>
        <v>15.556583672216995</v>
      </c>
      <c r="E14" s="96">
        <f t="shared" si="3"/>
        <v>15.974440584408754</v>
      </c>
      <c r="F14" s="96">
        <f t="shared" si="3"/>
        <v>16.394307909169388</v>
      </c>
      <c r="G14" s="96">
        <f t="shared" si="3"/>
        <v>16.815714456053065</v>
      </c>
      <c r="H14" s="96">
        <f t="shared" si="3"/>
        <v>17.238325611554778</v>
      </c>
      <c r="I14" s="96">
        <f t="shared" si="3"/>
        <v>17.661897198251953</v>
      </c>
      <c r="J14" s="96">
        <f t="shared" si="3"/>
        <v>18.086246855791018</v>
      </c>
      <c r="K14" s="96">
        <f t="shared" si="3"/>
        <v>18.36155420837569</v>
      </c>
      <c r="L14" s="96">
        <f t="shared" si="3"/>
        <v>18.787436315993848</v>
      </c>
      <c r="M14" s="96">
        <f t="shared" si="3"/>
        <v>19.064730417178101</v>
      </c>
      <c r="N14" s="96">
        <f t="shared" si="3"/>
        <v>19.342952275572575</v>
      </c>
    </row>
    <row r="15" spans="1:15" ht="18" x14ac:dyDescent="0.25">
      <c r="A15" s="206"/>
      <c r="B15" s="89" t="s">
        <v>449</v>
      </c>
      <c r="C15" s="97">
        <f>PI()*C14^3/32</f>
        <v>330.40534150507585</v>
      </c>
      <c r="D15" s="97">
        <f t="shared" ref="D15:N15" si="4">PI()*D14^3/32</f>
        <v>369.6090376403132</v>
      </c>
      <c r="E15" s="97">
        <f t="shared" si="4"/>
        <v>400.19980201320766</v>
      </c>
      <c r="F15" s="97">
        <f t="shared" si="4"/>
        <v>432.59267058793012</v>
      </c>
      <c r="G15" s="97">
        <f t="shared" si="4"/>
        <v>466.81614368596587</v>
      </c>
      <c r="H15" s="97">
        <f t="shared" si="4"/>
        <v>502.90405063922236</v>
      </c>
      <c r="I15" s="97">
        <f t="shared" si="4"/>
        <v>540.89373627807959</v>
      </c>
      <c r="J15" s="97">
        <f t="shared" si="4"/>
        <v>580.82494079066464</v>
      </c>
      <c r="K15" s="97">
        <f t="shared" si="4"/>
        <v>607.75454009124451</v>
      </c>
      <c r="L15" s="97">
        <f t="shared" si="4"/>
        <v>651.03218425543753</v>
      </c>
      <c r="M15" s="97">
        <f t="shared" si="4"/>
        <v>680.28657423622838</v>
      </c>
      <c r="N15" s="97">
        <f t="shared" si="4"/>
        <v>710.50669610297689</v>
      </c>
    </row>
    <row r="16" spans="1:15" x14ac:dyDescent="0.25">
      <c r="A16" s="206"/>
      <c r="B16" s="89" t="s">
        <v>450</v>
      </c>
      <c r="C16" s="98">
        <f>C15*$C$9/12</f>
        <v>220270.22767005058</v>
      </c>
      <c r="D16" s="98">
        <f t="shared" ref="D16:N16" si="5">D15*$C$9/12</f>
        <v>246406.02509354215</v>
      </c>
      <c r="E16" s="98">
        <f t="shared" si="5"/>
        <v>266799.86800880509</v>
      </c>
      <c r="F16" s="98">
        <f t="shared" si="5"/>
        <v>288395.11372528673</v>
      </c>
      <c r="G16" s="98">
        <f t="shared" si="5"/>
        <v>311210.76245731057</v>
      </c>
      <c r="H16" s="98">
        <f t="shared" si="5"/>
        <v>335269.36709281494</v>
      </c>
      <c r="I16" s="98">
        <f t="shared" si="5"/>
        <v>360595.82418538636</v>
      </c>
      <c r="J16" s="98">
        <f t="shared" si="5"/>
        <v>387216.62719377642</v>
      </c>
      <c r="K16" s="98">
        <f t="shared" si="5"/>
        <v>405169.69339416298</v>
      </c>
      <c r="L16" s="98">
        <f t="shared" si="5"/>
        <v>434021.4561702917</v>
      </c>
      <c r="M16" s="98">
        <f t="shared" si="5"/>
        <v>453524.38282415224</v>
      </c>
      <c r="N16" s="98">
        <f t="shared" si="5"/>
        <v>473671.13073531794</v>
      </c>
    </row>
    <row r="17" spans="1:14" ht="15.75" thickBot="1" x14ac:dyDescent="0.3">
      <c r="A17" s="207"/>
      <c r="B17" s="99" t="s">
        <v>451</v>
      </c>
      <c r="C17" s="100">
        <f>+C16*$E$8</f>
        <v>143175.64798553288</v>
      </c>
      <c r="D17" s="100">
        <f t="shared" ref="D17:N17" si="6">+D16*$E$8</f>
        <v>160163.91631080239</v>
      </c>
      <c r="E17" s="100">
        <f t="shared" si="6"/>
        <v>173419.91420572333</v>
      </c>
      <c r="F17" s="100">
        <f t="shared" si="6"/>
        <v>187456.82392143639</v>
      </c>
      <c r="G17" s="100">
        <f t="shared" si="6"/>
        <v>202286.99559725187</v>
      </c>
      <c r="H17" s="100">
        <f t="shared" si="6"/>
        <v>217925.08861032972</v>
      </c>
      <c r="I17" s="100">
        <f t="shared" si="6"/>
        <v>234387.28572050115</v>
      </c>
      <c r="J17" s="100">
        <f t="shared" si="6"/>
        <v>251690.80767595468</v>
      </c>
      <c r="K17" s="100">
        <f t="shared" si="6"/>
        <v>263360.30070620595</v>
      </c>
      <c r="L17" s="100">
        <f t="shared" si="6"/>
        <v>282113.94651068962</v>
      </c>
      <c r="M17" s="100">
        <f t="shared" si="6"/>
        <v>294790.84883569897</v>
      </c>
      <c r="N17" s="100">
        <f t="shared" si="6"/>
        <v>307886.23497795669</v>
      </c>
    </row>
    <row r="18" spans="1:14" ht="30" customHeight="1" thickTop="1" x14ac:dyDescent="0.25">
      <c r="A18" s="209" t="s">
        <v>299</v>
      </c>
      <c r="B18" s="101" t="s">
        <v>452</v>
      </c>
      <c r="C18" s="102">
        <f t="shared" ref="C18:N18" si="7">+$C$3*(2*(C13+C14))*(C10-(0.1*C10+2))^2/72</f>
        <v>4975.221702162733</v>
      </c>
      <c r="D18" s="102">
        <f t="shared" si="7"/>
        <v>6214.1061834225284</v>
      </c>
      <c r="E18" s="102">
        <f t="shared" si="7"/>
        <v>7572.8305972477119</v>
      </c>
      <c r="F18" s="102">
        <f t="shared" si="7"/>
        <v>9089.1496348868823</v>
      </c>
      <c r="G18" s="102">
        <f t="shared" si="7"/>
        <v>10768.863888797794</v>
      </c>
      <c r="H18" s="102">
        <f t="shared" si="7"/>
        <v>12617.774126863682</v>
      </c>
      <c r="I18" s="102">
        <f t="shared" si="7"/>
        <v>14641.681233127914</v>
      </c>
      <c r="J18" s="102">
        <f t="shared" si="7"/>
        <v>16846.38617103445</v>
      </c>
      <c r="K18" s="102">
        <f t="shared" si="7"/>
        <v>19133.894200554529</v>
      </c>
      <c r="L18" s="102">
        <f t="shared" si="7"/>
        <v>21705.71665206569</v>
      </c>
      <c r="M18" s="102">
        <f t="shared" si="7"/>
        <v>24346.892594470908</v>
      </c>
      <c r="N18" s="102">
        <f t="shared" si="7"/>
        <v>27165.085039334394</v>
      </c>
    </row>
    <row r="19" spans="1:14" ht="30" x14ac:dyDescent="0.25">
      <c r="A19" s="206"/>
      <c r="B19" s="89" t="s">
        <v>453</v>
      </c>
      <c r="C19" s="103">
        <f>+C17-C18</f>
        <v>138200.42628337015</v>
      </c>
      <c r="D19" s="103">
        <f t="shared" ref="D19:N19" si="8">D17-D18</f>
        <v>153949.81012737987</v>
      </c>
      <c r="E19" s="103">
        <f t="shared" si="8"/>
        <v>165847.0836084756</v>
      </c>
      <c r="F19" s="103">
        <f t="shared" si="8"/>
        <v>178367.6742865495</v>
      </c>
      <c r="G19" s="103">
        <f t="shared" si="8"/>
        <v>191518.13170845408</v>
      </c>
      <c r="H19" s="103">
        <f t="shared" si="8"/>
        <v>205307.31448346603</v>
      </c>
      <c r="I19" s="103">
        <f t="shared" si="8"/>
        <v>219745.60448737323</v>
      </c>
      <c r="J19" s="103">
        <f t="shared" si="8"/>
        <v>234844.42150492023</v>
      </c>
      <c r="K19" s="103">
        <f t="shared" si="8"/>
        <v>244226.40650565142</v>
      </c>
      <c r="L19" s="103">
        <f t="shared" si="8"/>
        <v>260408.22985862393</v>
      </c>
      <c r="M19" s="103">
        <f t="shared" si="8"/>
        <v>270443.95624122804</v>
      </c>
      <c r="N19" s="103">
        <f t="shared" si="8"/>
        <v>280721.14993862231</v>
      </c>
    </row>
    <row r="20" spans="1:14" ht="30" x14ac:dyDescent="0.25">
      <c r="A20" s="206"/>
      <c r="B20" s="89" t="s">
        <v>454</v>
      </c>
      <c r="C20" s="104">
        <f>(SUM(Construction!$B$13:$O$13)*(C10*0.9-2)-SUM(Construction!$B$16:$O$16))*$E$6</f>
        <v>270.52958333333328</v>
      </c>
      <c r="D20" s="104">
        <f>(SUM(Construction!$B$13:$O$13)*(D10*0.9-2)-SUM(Construction!$B$16:$O$16))*$E$6</f>
        <v>310.3508333333333</v>
      </c>
      <c r="E20" s="104">
        <f>(SUM(Construction!$B$13:$O$13)*(E10*0.9-2)-SUM(Construction!$B$16:$O$16))*$E$6</f>
        <v>350.17208333333326</v>
      </c>
      <c r="F20" s="104">
        <f>(SUM(Construction!$B$13:$O$13)*(F10*0.9-2)-SUM(Construction!$B$16:$O$16))*$E$6</f>
        <v>389.99333333333334</v>
      </c>
      <c r="G20" s="104">
        <f>(SUM(Construction!$B$13:$O$13)*(G10*0.9-2)-SUM(Construction!$B$16:$O$16))*$E$6</f>
        <v>429.8145833333333</v>
      </c>
      <c r="H20" s="104">
        <f>(SUM(Construction!$B$13:$O$13)*(H10*0.9-2)-SUM(Construction!$B$16:$O$16))*$E$6</f>
        <v>469.63583333333327</v>
      </c>
      <c r="I20" s="104">
        <f>(SUM(Construction!$B$13:$O$13)*(I10*0.9-2)-SUM(Construction!$B$16:$O$16))*$E$6</f>
        <v>509.45708333333329</v>
      </c>
      <c r="J20" s="104">
        <f>(SUM(Construction!$B$13:$O$13)*(J10*0.9-2)-SUM(Construction!$B$16:$O$16))*$E$6</f>
        <v>549.27833333333319</v>
      </c>
      <c r="K20" s="104">
        <f>(SUM(Construction!$B$13:$O$13)*(K10*0.9-2)-SUM(Construction!$B$16:$O$16))*$E$6</f>
        <v>589.09958333333316</v>
      </c>
      <c r="L20" s="104">
        <f>(SUM(Construction!$B$13:$O$13)*(L10*0.9-2)-SUM(Construction!$B$16:$O$16))*$E$6</f>
        <v>628.92083333333335</v>
      </c>
      <c r="M20" s="104">
        <f>(SUM(Construction!$B$13:$O$13)*(M10*0.9-2)-SUM(Construction!$B$16:$O$16))*$E$6</f>
        <v>668.74208333333331</v>
      </c>
      <c r="N20" s="104">
        <f>(SUM(Construction!$B$13:$O$13)*(N10*0.9-2)-SUM(Construction!$B$16:$O$16))*$E$6</f>
        <v>708.56333333333328</v>
      </c>
    </row>
    <row r="21" spans="1:14" ht="30.75" thickBot="1" x14ac:dyDescent="0.3">
      <c r="A21" s="207"/>
      <c r="B21" s="105" t="s">
        <v>455</v>
      </c>
      <c r="C21" s="106">
        <f>+C19/C20</f>
        <v>510.85143658054716</v>
      </c>
      <c r="D21" s="106">
        <f t="shared" ref="D21:N21" si="9">+D19/D20</f>
        <v>496.05089979581135</v>
      </c>
      <c r="E21" s="106">
        <f t="shared" si="9"/>
        <v>473.61594913493906</v>
      </c>
      <c r="F21" s="106">
        <f t="shared" si="9"/>
        <v>457.36082912498375</v>
      </c>
      <c r="G21" s="106">
        <f t="shared" si="9"/>
        <v>445.58314011399278</v>
      </c>
      <c r="H21" s="106">
        <f t="shared" si="9"/>
        <v>437.16279702563736</v>
      </c>
      <c r="I21" s="106">
        <f t="shared" si="9"/>
        <v>431.33290649252905</v>
      </c>
      <c r="J21" s="106">
        <f t="shared" si="9"/>
        <v>427.55085582886687</v>
      </c>
      <c r="K21" s="106">
        <f t="shared" si="9"/>
        <v>414.57575835265794</v>
      </c>
      <c r="L21" s="106">
        <f t="shared" si="9"/>
        <v>414.05565860879244</v>
      </c>
      <c r="M21" s="106">
        <f t="shared" si="9"/>
        <v>404.40696492914702</v>
      </c>
      <c r="N21" s="106">
        <f t="shared" si="9"/>
        <v>396.18356854285764</v>
      </c>
    </row>
    <row r="22" spans="1:14" ht="15.75" thickTop="1" x14ac:dyDescent="0.25">
      <c r="A22" s="206" t="s">
        <v>357</v>
      </c>
      <c r="B22" s="89" t="s">
        <v>456</v>
      </c>
      <c r="C22" s="255">
        <v>1.5</v>
      </c>
      <c r="D22" s="91">
        <f>+C22</f>
        <v>1.5</v>
      </c>
      <c r="E22" s="91">
        <f t="shared" ref="E22:N22" si="10">+D22</f>
        <v>1.5</v>
      </c>
      <c r="F22" s="91">
        <f t="shared" si="10"/>
        <v>1.5</v>
      </c>
      <c r="G22" s="91">
        <f t="shared" si="10"/>
        <v>1.5</v>
      </c>
      <c r="H22" s="91">
        <f t="shared" si="10"/>
        <v>1.5</v>
      </c>
      <c r="I22" s="91">
        <f t="shared" si="10"/>
        <v>1.5</v>
      </c>
      <c r="J22" s="91">
        <f t="shared" si="10"/>
        <v>1.5</v>
      </c>
      <c r="K22" s="91">
        <f t="shared" si="10"/>
        <v>1.5</v>
      </c>
      <c r="L22" s="91">
        <f t="shared" si="10"/>
        <v>1.5</v>
      </c>
      <c r="M22" s="91">
        <f t="shared" si="10"/>
        <v>1.5</v>
      </c>
      <c r="N22" s="91">
        <f t="shared" si="10"/>
        <v>1.5</v>
      </c>
    </row>
    <row r="23" spans="1:14" x14ac:dyDescent="0.25">
      <c r="A23" s="206"/>
      <c r="B23" s="89" t="s">
        <v>476</v>
      </c>
      <c r="C23" s="128">
        <f>SUM(Construction!$B$8:$O$8)*SIN(C22/2*PI()/180)</f>
        <v>330.77408008787398</v>
      </c>
      <c r="D23" s="128">
        <f>SUM(Construction!$B$8:$O$8)*SIN(D22/2*PI()/180)</f>
        <v>330.77408008787398</v>
      </c>
      <c r="E23" s="128">
        <f>SUM(Construction!$B$8:$O$8)*SIN(E22/2*PI()/180)</f>
        <v>330.77408008787398</v>
      </c>
      <c r="F23" s="128">
        <f>SUM(Construction!$B$8:$O$8)*SIN(F22/2*PI()/180)</f>
        <v>330.77408008787398</v>
      </c>
      <c r="G23" s="128">
        <f>SUM(Construction!$B$8:$O$8)*SIN(G22/2*PI()/180)</f>
        <v>330.77408008787398</v>
      </c>
      <c r="H23" s="128">
        <f>SUM(Construction!$B$8:$O$8)*SIN(H22/2*PI()/180)</f>
        <v>330.77408008787398</v>
      </c>
      <c r="I23" s="128">
        <f>SUM(Construction!$B$8:$O$8)*SIN(I22/2*PI()/180)</f>
        <v>330.77408008787398</v>
      </c>
      <c r="J23" s="128">
        <f>SUM(Construction!$B$8:$O$8)*SIN(J22/2*PI()/180)</f>
        <v>330.77408008787398</v>
      </c>
      <c r="K23" s="128">
        <f>SUM(Construction!$B$8:$O$8)*SIN(K22/2*PI()/180)</f>
        <v>330.77408008787398</v>
      </c>
      <c r="L23" s="128">
        <f>SUM(Construction!$B$8:$O$8)*SIN(L22/2*PI()/180)</f>
        <v>330.77408008787398</v>
      </c>
      <c r="M23" s="128">
        <f>SUM(Construction!$B$8:$O$8)*SIN(M22/2*PI()/180)</f>
        <v>330.77408008787398</v>
      </c>
      <c r="N23" s="128">
        <f>SUM(Construction!$B$8:$O$8)*SIN(N22/2*PI()/180)</f>
        <v>330.77408008787398</v>
      </c>
    </row>
    <row r="24" spans="1:14" ht="30" x14ac:dyDescent="0.25">
      <c r="A24" s="206"/>
      <c r="B24" s="89" t="s">
        <v>457</v>
      </c>
      <c r="C24" s="103">
        <f>(SUM(Construction!$B$8:$O$8)*(C10*0.9-2)-SUM(Construction!$B$17:$O$17))*SIN(C22/2*PI()/180)*$F$6</f>
        <v>19353.601897617966</v>
      </c>
      <c r="D24" s="103">
        <f>(SUM(Construction!$B$8:$O$8)*(D10*0.9-2)-SUM(Construction!$B$17:$O$17))*SIN(D22/2*PI()/180)*$F$6</f>
        <v>21809.599442270428</v>
      </c>
      <c r="E24" s="103">
        <f>(SUM(Construction!$B$8:$O$8)*(E10*0.9-2)-SUM(Construction!$B$17:$O$17))*SIN(E22/2*PI()/180)*$F$6</f>
        <v>24265.596986922894</v>
      </c>
      <c r="F24" s="103">
        <f>(SUM(Construction!$B$8:$O$8)*(F10*0.9-2)-SUM(Construction!$B$17:$O$17))*SIN(F22/2*PI()/180)*$F$6</f>
        <v>26721.594531575356</v>
      </c>
      <c r="G24" s="103">
        <f>(SUM(Construction!$B$8:$O$8)*(G10*0.9-2)-SUM(Construction!$B$17:$O$17))*SIN(G22/2*PI()/180)*$F$6</f>
        <v>29177.592076227818</v>
      </c>
      <c r="H24" s="103">
        <f>(SUM(Construction!$B$8:$O$8)*(H10*0.9-2)-SUM(Construction!$B$17:$O$17))*SIN(H22/2*PI()/180)*$F$6</f>
        <v>31633.589620880281</v>
      </c>
      <c r="I24" s="103">
        <f>(SUM(Construction!$B$8:$O$8)*(I10*0.9-2)-SUM(Construction!$B$17:$O$17))*SIN(I22/2*PI()/180)*$F$6</f>
        <v>34089.58716553275</v>
      </c>
      <c r="J24" s="103">
        <f>(SUM(Construction!$B$8:$O$8)*(J10*0.9-2)-SUM(Construction!$B$17:$O$17))*SIN(J22/2*PI()/180)*$F$6</f>
        <v>36545.584710185212</v>
      </c>
      <c r="K24" s="103">
        <f>(SUM(Construction!$B$8:$O$8)*(K10*0.9-2)-SUM(Construction!$B$17:$O$17))*SIN(K22/2*PI()/180)*$F$6</f>
        <v>39001.582254837675</v>
      </c>
      <c r="L24" s="103">
        <f>(SUM(Construction!$B$8:$O$8)*(L10*0.9-2)-SUM(Construction!$B$17:$O$17))*SIN(L22/2*PI()/180)*$F$6</f>
        <v>41457.579799490137</v>
      </c>
      <c r="M24" s="103">
        <f>(SUM(Construction!$B$8:$O$8)*(M10*0.9-2)-SUM(Construction!$B$17:$O$17))*SIN(M22/2*PI()/180)*$F$6</f>
        <v>43913.577344142606</v>
      </c>
      <c r="N24" s="103">
        <f>(SUM(Construction!$B$8:$O$8)*(N10*0.9-2)-SUM(Construction!$B$17:$O$17))*SIN(N22/2*PI()/180)*$F$6</f>
        <v>46369.574888795069</v>
      </c>
    </row>
    <row r="25" spans="1:14" x14ac:dyDescent="0.25">
      <c r="A25" s="206"/>
      <c r="B25" s="89" t="s">
        <v>767</v>
      </c>
      <c r="C25" s="103">
        <f>C24/(C10*0.9-2)</f>
        <v>450.08376506088291</v>
      </c>
      <c r="D25" s="103">
        <f t="shared" ref="D25:N25" si="11">D24/(D10*0.9-2)</f>
        <v>459.14946194253531</v>
      </c>
      <c r="E25" s="103">
        <f t="shared" si="11"/>
        <v>466.64609590236336</v>
      </c>
      <c r="F25" s="103">
        <f t="shared" si="11"/>
        <v>472.94857578009481</v>
      </c>
      <c r="G25" s="103">
        <f t="shared" si="11"/>
        <v>478.32118157750523</v>
      </c>
      <c r="H25" s="103">
        <f t="shared" si="11"/>
        <v>482.95556673099662</v>
      </c>
      <c r="I25" s="103">
        <f t="shared" si="11"/>
        <v>486.99410236475359</v>
      </c>
      <c r="J25" s="103">
        <f t="shared" si="11"/>
        <v>490.54476121053978</v>
      </c>
      <c r="K25" s="103">
        <f t="shared" si="11"/>
        <v>493.69091461819841</v>
      </c>
      <c r="L25" s="103">
        <f t="shared" si="11"/>
        <v>496.49796167054058</v>
      </c>
      <c r="M25" s="103">
        <f t="shared" si="11"/>
        <v>499.01792436525687</v>
      </c>
      <c r="N25" s="103">
        <f t="shared" si="11"/>
        <v>501.29270150048723</v>
      </c>
    </row>
    <row r="26" spans="1:14" x14ac:dyDescent="0.25">
      <c r="A26" s="206"/>
      <c r="B26" s="138" t="s">
        <v>478</v>
      </c>
      <c r="C26" s="139">
        <f t="shared" ref="C26:N26" si="12">C24*(C10*0.9-2)^2/(3*$C$39*144*((PI()*(C13/2/12)^4)/4)*(C14/C13)^3)*12</f>
        <v>7.5090241935684361</v>
      </c>
      <c r="D26" s="139">
        <f t="shared" si="12"/>
        <v>9.230477656590045</v>
      </c>
      <c r="E26" s="139">
        <f t="shared" si="12"/>
        <v>11.367177640506462</v>
      </c>
      <c r="F26" s="139">
        <f t="shared" si="12"/>
        <v>13.671367486681937</v>
      </c>
      <c r="G26" s="139">
        <f t="shared" si="12"/>
        <v>16.124828356410916</v>
      </c>
      <c r="H26" s="139">
        <f t="shared" si="12"/>
        <v>18.710172493104714</v>
      </c>
      <c r="I26" s="139">
        <f t="shared" si="12"/>
        <v>21.411037811711463</v>
      </c>
      <c r="J26" s="139">
        <f t="shared" si="12"/>
        <v>24.212188825054319</v>
      </c>
      <c r="K26" s="139">
        <f t="shared" si="12"/>
        <v>27.767708772333219</v>
      </c>
      <c r="L26" s="139">
        <f t="shared" si="12"/>
        <v>30.782669983006549</v>
      </c>
      <c r="M26" s="139">
        <f t="shared" si="12"/>
        <v>34.658048939012922</v>
      </c>
      <c r="N26" s="139">
        <f t="shared" si="12"/>
        <v>38.715088231597711</v>
      </c>
    </row>
    <row r="27" spans="1:14" x14ac:dyDescent="0.25">
      <c r="A27" s="206"/>
      <c r="B27" s="89" t="s">
        <v>477</v>
      </c>
      <c r="C27" s="127">
        <f t="shared" ref="C27:N27" si="13">C24*(C10*0.9-2)/(2.068*$C$39*144*((PI()*(C13/2/12)^4)/4)*(C14/C13)^2.497)*180/PI()</f>
        <v>1.543389669740983</v>
      </c>
      <c r="D27" s="127">
        <f t="shared" si="13"/>
        <v>1.7500712194089902</v>
      </c>
      <c r="E27" s="127">
        <f t="shared" si="13"/>
        <v>1.9951001863206397</v>
      </c>
      <c r="F27" s="127">
        <f t="shared" si="13"/>
        <v>2.2374144170706463</v>
      </c>
      <c r="G27" s="127">
        <f t="shared" si="13"/>
        <v>2.4756678289747369</v>
      </c>
      <c r="H27" s="127">
        <f t="shared" si="13"/>
        <v>2.7088553586960917</v>
      </c>
      <c r="I27" s="127">
        <f t="shared" si="13"/>
        <v>2.9362414587601009</v>
      </c>
      <c r="J27" s="127">
        <f t="shared" si="13"/>
        <v>3.1573036493879805</v>
      </c>
      <c r="K27" s="127">
        <f t="shared" si="13"/>
        <v>3.4407387779688214</v>
      </c>
      <c r="L27" s="127">
        <f t="shared" si="13"/>
        <v>3.6506271035740947</v>
      </c>
      <c r="M27" s="127">
        <f t="shared" si="13"/>
        <v>3.9288890476196752</v>
      </c>
      <c r="N27" s="127">
        <f t="shared" si="13"/>
        <v>4.2058305252760819</v>
      </c>
    </row>
    <row r="28" spans="1:14" ht="30" x14ac:dyDescent="0.25">
      <c r="A28" s="206"/>
      <c r="B28" s="89" t="s">
        <v>458</v>
      </c>
      <c r="C28" s="96">
        <f t="shared" ref="C28:N28" si="14">(C20*COS(C22/2*PI()/180))</f>
        <v>270.50640640762623</v>
      </c>
      <c r="D28" s="96">
        <f t="shared" si="14"/>
        <v>310.32424482453268</v>
      </c>
      <c r="E28" s="96">
        <f t="shared" si="14"/>
        <v>350.14208324143908</v>
      </c>
      <c r="F28" s="96">
        <f t="shared" si="14"/>
        <v>389.95992165834559</v>
      </c>
      <c r="G28" s="96">
        <f t="shared" si="14"/>
        <v>429.77776007525199</v>
      </c>
      <c r="H28" s="96">
        <f t="shared" si="14"/>
        <v>469.59559849215833</v>
      </c>
      <c r="I28" s="96">
        <f t="shared" si="14"/>
        <v>509.41343690906479</v>
      </c>
      <c r="J28" s="96">
        <f t="shared" si="14"/>
        <v>549.23127532597118</v>
      </c>
      <c r="K28" s="96">
        <f t="shared" si="14"/>
        <v>589.04911374287758</v>
      </c>
      <c r="L28" s="96">
        <f t="shared" si="14"/>
        <v>628.86695215978409</v>
      </c>
      <c r="M28" s="96">
        <f t="shared" si="14"/>
        <v>668.68479057669049</v>
      </c>
      <c r="N28" s="96">
        <f t="shared" si="14"/>
        <v>708.50262899359689</v>
      </c>
    </row>
    <row r="29" spans="1:14" ht="15.75" thickBot="1" x14ac:dyDescent="0.3">
      <c r="A29" s="207"/>
      <c r="B29" s="105" t="s">
        <v>459</v>
      </c>
      <c r="C29" s="106">
        <f t="shared" ref="C29:N29" si="15">(C19-C24)/(C28)</f>
        <v>439.34938903687868</v>
      </c>
      <c r="D29" s="106">
        <f t="shared" si="15"/>
        <v>425.81336421144198</v>
      </c>
      <c r="E29" s="106">
        <f t="shared" si="15"/>
        <v>404.35438468538996</v>
      </c>
      <c r="F29" s="106">
        <f t="shared" si="15"/>
        <v>388.87606477630635</v>
      </c>
      <c r="G29" s="106">
        <f t="shared" si="15"/>
        <v>377.73136423764976</v>
      </c>
      <c r="H29" s="106">
        <f t="shared" si="15"/>
        <v>369.83678173356191</v>
      </c>
      <c r="I29" s="106">
        <f t="shared" si="15"/>
        <v>364.45056975397739</v>
      </c>
      <c r="J29" s="106">
        <f t="shared" si="15"/>
        <v>361.04796959540187</v>
      </c>
      <c r="K29" s="106">
        <f t="shared" si="15"/>
        <v>348.40019187329642</v>
      </c>
      <c r="L29" s="106">
        <f t="shared" si="15"/>
        <v>348.16688857184892</v>
      </c>
      <c r="M29" s="106">
        <f t="shared" si="15"/>
        <v>338.77004844348255</v>
      </c>
      <c r="N29" s="106">
        <f t="shared" si="15"/>
        <v>330.77022647426929</v>
      </c>
    </row>
    <row r="30" spans="1:14" ht="15" customHeight="1" thickTop="1" x14ac:dyDescent="0.25">
      <c r="A30" s="206" t="s">
        <v>430</v>
      </c>
      <c r="B30" s="89" t="s">
        <v>431</v>
      </c>
      <c r="C30" s="91">
        <v>0</v>
      </c>
      <c r="D30" s="107"/>
      <c r="E30" s="107"/>
      <c r="F30" s="107"/>
      <c r="G30" s="107"/>
      <c r="H30" s="107"/>
      <c r="I30" s="107"/>
      <c r="J30" s="107"/>
      <c r="K30" s="107"/>
      <c r="L30" s="107"/>
      <c r="M30" s="107"/>
      <c r="N30" s="107"/>
    </row>
    <row r="31" spans="1:14" ht="30" x14ac:dyDescent="0.25">
      <c r="A31" s="206"/>
      <c r="B31" s="89" t="s">
        <v>460</v>
      </c>
      <c r="C31" s="107">
        <f>+C30*13.5</f>
        <v>0</v>
      </c>
      <c r="D31" s="107"/>
      <c r="E31" s="107"/>
      <c r="F31" s="107"/>
      <c r="G31" s="107"/>
      <c r="H31" s="107"/>
      <c r="I31" s="107"/>
      <c r="J31" s="107"/>
      <c r="K31" s="107"/>
      <c r="L31" s="107"/>
      <c r="M31" s="107"/>
      <c r="N31" s="107"/>
    </row>
    <row r="32" spans="1:14" ht="15" customHeight="1" x14ac:dyDescent="0.25">
      <c r="A32" s="206"/>
      <c r="B32" s="89" t="s">
        <v>461</v>
      </c>
      <c r="C32" s="107">
        <v>0</v>
      </c>
      <c r="D32" s="107"/>
      <c r="E32" s="107"/>
      <c r="F32" s="125"/>
      <c r="G32" s="126"/>
      <c r="H32" s="107"/>
      <c r="I32" s="107"/>
      <c r="J32" s="107"/>
      <c r="K32" s="107"/>
      <c r="L32" s="107"/>
      <c r="M32" s="107"/>
      <c r="N32" s="107"/>
    </row>
    <row r="33" spans="1:14" x14ac:dyDescent="0.25">
      <c r="A33" s="206"/>
      <c r="B33" s="89" t="s">
        <v>462</v>
      </c>
      <c r="C33" s="107">
        <v>1660</v>
      </c>
      <c r="D33" s="107"/>
      <c r="E33" s="107"/>
      <c r="F33" s="107"/>
      <c r="G33" s="97"/>
      <c r="H33" s="107"/>
      <c r="I33" s="107"/>
      <c r="J33" s="107"/>
      <c r="K33" s="107"/>
      <c r="L33" s="107"/>
      <c r="M33" s="107"/>
      <c r="N33" s="107"/>
    </row>
    <row r="34" spans="1:14" x14ac:dyDescent="0.25">
      <c r="A34" s="206"/>
      <c r="B34" s="89" t="s">
        <v>463</v>
      </c>
      <c r="C34" s="107">
        <v>234</v>
      </c>
      <c r="D34" s="107"/>
      <c r="E34" s="107"/>
      <c r="F34" s="107"/>
      <c r="G34" s="107"/>
      <c r="H34" s="107"/>
      <c r="I34" s="107"/>
      <c r="J34" s="107"/>
      <c r="K34" s="107"/>
      <c r="L34" s="107"/>
      <c r="M34" s="107"/>
      <c r="N34" s="107"/>
    </row>
    <row r="35" spans="1:14" x14ac:dyDescent="0.25">
      <c r="A35" s="206"/>
      <c r="B35" s="89" t="s">
        <v>464</v>
      </c>
      <c r="C35" s="107">
        <v>48</v>
      </c>
      <c r="D35" s="107"/>
      <c r="E35" s="107"/>
      <c r="F35" s="107"/>
      <c r="G35" s="107"/>
      <c r="H35" s="107"/>
      <c r="I35" s="107"/>
      <c r="J35" s="107"/>
      <c r="K35" s="107"/>
      <c r="L35" s="107"/>
      <c r="M35" s="107"/>
      <c r="N35" s="107"/>
    </row>
    <row r="36" spans="1:14" ht="30" x14ac:dyDescent="0.25">
      <c r="A36" s="206"/>
      <c r="B36" s="89" t="s">
        <v>465</v>
      </c>
      <c r="C36" s="108">
        <f>ATAN((2*$C$33*SIN(C22/2*PI()/180))/(C34*Construction!$C$14+(0.5*C31+C32)))*180/PI()</f>
        <v>11.735462218238832</v>
      </c>
      <c r="D36" s="108"/>
      <c r="E36" s="108"/>
      <c r="F36" s="108"/>
      <c r="G36" s="108"/>
      <c r="H36" s="108"/>
      <c r="I36" s="108"/>
      <c r="J36" s="108"/>
      <c r="K36" s="108"/>
      <c r="L36" s="108"/>
      <c r="M36" s="108"/>
      <c r="N36" s="108"/>
    </row>
    <row r="37" spans="1:14" ht="30" x14ac:dyDescent="0.25">
      <c r="A37" s="206"/>
      <c r="B37" s="89" t="s">
        <v>466</v>
      </c>
      <c r="C37" s="108">
        <f>ATAN((2*$C$33*SIN(C22*PI()/180/2)+C34*Construction!$C$5*$C$3/12)/(C34*Construction!$C$14+(0.5*C31+C32)))*180/PI()</f>
        <v>32.080548534833</v>
      </c>
      <c r="D37" s="108"/>
      <c r="E37" s="108"/>
      <c r="F37" s="108"/>
      <c r="G37" s="108"/>
      <c r="H37" s="108"/>
      <c r="I37" s="108"/>
      <c r="J37" s="108"/>
      <c r="K37" s="108"/>
      <c r="L37" s="108"/>
      <c r="M37" s="108"/>
      <c r="N37" s="108"/>
    </row>
    <row r="38" spans="1:14" ht="30.75" thickBot="1" x14ac:dyDescent="0.3">
      <c r="A38" s="210"/>
      <c r="B38" s="92" t="s">
        <v>467</v>
      </c>
      <c r="C38" s="161">
        <f>(2*C33*SIN(C22/2*PI()/180)+C34*$C$3*Construction!$C$5/12)/(Construction!$C$14*TAN(C35*PI()/180))-(C31/(2*Construction!$C$14))-C32</f>
        <v>132.06878487324033</v>
      </c>
      <c r="D38" s="109"/>
      <c r="E38" s="109"/>
      <c r="F38" s="109"/>
      <c r="G38" s="109"/>
      <c r="H38" s="109"/>
      <c r="I38" s="109"/>
      <c r="J38" s="109"/>
      <c r="K38" s="109"/>
      <c r="L38" s="109"/>
      <c r="M38" s="109"/>
      <c r="N38" s="109"/>
    </row>
    <row r="39" spans="1:14" ht="15" customHeight="1" thickTop="1" x14ac:dyDescent="0.25">
      <c r="A39" s="206" t="s">
        <v>294</v>
      </c>
      <c r="B39" s="89" t="s">
        <v>468</v>
      </c>
      <c r="C39" s="260">
        <v>1800000</v>
      </c>
      <c r="D39" s="91"/>
      <c r="E39" s="91"/>
      <c r="F39" s="91"/>
      <c r="G39" s="91"/>
      <c r="H39" s="97"/>
      <c r="I39" s="91"/>
      <c r="J39" s="91"/>
      <c r="K39" s="91"/>
      <c r="L39" s="91"/>
      <c r="M39" s="91"/>
      <c r="N39" s="91"/>
    </row>
    <row r="40" spans="1:14" x14ac:dyDescent="0.25">
      <c r="A40" s="206"/>
      <c r="B40" s="89" t="s">
        <v>6</v>
      </c>
      <c r="C40" s="91">
        <f>+D6</f>
        <v>1.5</v>
      </c>
      <c r="D40" s="91"/>
      <c r="E40" s="91"/>
      <c r="F40" s="91"/>
      <c r="G40" s="91"/>
      <c r="H40" s="91"/>
      <c r="I40" s="91"/>
      <c r="J40" s="91"/>
      <c r="K40" s="91"/>
      <c r="L40" s="91"/>
      <c r="M40" s="91"/>
      <c r="N40" s="91"/>
    </row>
    <row r="41" spans="1:14" x14ac:dyDescent="0.25">
      <c r="A41" s="206"/>
      <c r="B41" s="89" t="s">
        <v>288</v>
      </c>
      <c r="C41" s="261">
        <v>0.7</v>
      </c>
      <c r="D41" s="208" t="s">
        <v>298</v>
      </c>
      <c r="E41" s="208"/>
      <c r="F41" s="208"/>
      <c r="G41" s="208"/>
      <c r="H41" s="208"/>
      <c r="I41" s="208"/>
      <c r="J41" s="91"/>
      <c r="K41" s="91"/>
      <c r="L41" s="91"/>
      <c r="M41" s="91"/>
      <c r="N41" s="91"/>
    </row>
    <row r="42" spans="1:14" ht="30" x14ac:dyDescent="0.25">
      <c r="A42" s="206"/>
      <c r="B42" s="89" t="s">
        <v>469</v>
      </c>
      <c r="C42" s="261">
        <v>19.5</v>
      </c>
      <c r="D42" s="91">
        <f>+C42</f>
        <v>19.5</v>
      </c>
      <c r="E42" s="91">
        <f t="shared" ref="E42:N42" si="16">+D42</f>
        <v>19.5</v>
      </c>
      <c r="F42" s="91">
        <f t="shared" si="16"/>
        <v>19.5</v>
      </c>
      <c r="G42" s="91">
        <f t="shared" si="16"/>
        <v>19.5</v>
      </c>
      <c r="H42" s="91">
        <f t="shared" si="16"/>
        <v>19.5</v>
      </c>
      <c r="I42" s="91">
        <f t="shared" si="16"/>
        <v>19.5</v>
      </c>
      <c r="J42" s="91">
        <f t="shared" si="16"/>
        <v>19.5</v>
      </c>
      <c r="K42" s="91">
        <f t="shared" si="16"/>
        <v>19.5</v>
      </c>
      <c r="L42" s="91">
        <f t="shared" si="16"/>
        <v>19.5</v>
      </c>
      <c r="M42" s="91">
        <f t="shared" si="16"/>
        <v>19.5</v>
      </c>
      <c r="N42" s="91">
        <f t="shared" si="16"/>
        <v>19.5</v>
      </c>
    </row>
    <row r="43" spans="1:14" ht="18" x14ac:dyDescent="0.25">
      <c r="A43" s="206"/>
      <c r="B43" s="89" t="s">
        <v>470</v>
      </c>
      <c r="C43" s="96">
        <f t="shared" ref="C43:N43" si="17">(((((C12-C13)/(C10-6)*(C10*0.9-2-0.6667*C42))+(C13)))^2)*PI()/4</f>
        <v>137.80207818044096</v>
      </c>
      <c r="D43" s="96">
        <f t="shared" si="17"/>
        <v>150.11974629840972</v>
      </c>
      <c r="E43" s="96">
        <f t="shared" si="17"/>
        <v>160.34769569513426</v>
      </c>
      <c r="F43" s="96">
        <f t="shared" si="17"/>
        <v>170.78116509377924</v>
      </c>
      <c r="G43" s="96">
        <f t="shared" si="17"/>
        <v>181.43967912360228</v>
      </c>
      <c r="H43" s="96">
        <f t="shared" si="17"/>
        <v>192.33718090802921</v>
      </c>
      <c r="I43" s="96">
        <f t="shared" si="17"/>
        <v>203.48389319845955</v>
      </c>
      <c r="J43" s="96">
        <f t="shared" si="17"/>
        <v>214.88748146692583</v>
      </c>
      <c r="K43" s="96">
        <f t="shared" si="17"/>
        <v>223.22997203909316</v>
      </c>
      <c r="L43" s="96">
        <f t="shared" si="17"/>
        <v>235.04908362448774</v>
      </c>
      <c r="M43" s="96">
        <f t="shared" si="17"/>
        <v>243.615296555496</v>
      </c>
      <c r="N43" s="96">
        <f t="shared" si="17"/>
        <v>252.26106895327456</v>
      </c>
    </row>
    <row r="44" spans="1:14" x14ac:dyDescent="0.25">
      <c r="A44" s="206"/>
      <c r="B44" s="89" t="s">
        <v>471</v>
      </c>
      <c r="C44" s="103">
        <f>($C$39*PI()*C43^2)/(576*$C$40*($C$41*C42)^2)</f>
        <v>667044.59107695858</v>
      </c>
      <c r="D44" s="103">
        <f t="shared" ref="D44:N44" si="18">($C$39*PI()*D43^2)/(576*$C$40*($C$41*D42)^2)</f>
        <v>791624.04322516348</v>
      </c>
      <c r="E44" s="103">
        <f t="shared" si="18"/>
        <v>903168.49328823877</v>
      </c>
      <c r="F44" s="103">
        <f t="shared" si="18"/>
        <v>1024526.6898871771</v>
      </c>
      <c r="G44" s="103">
        <f t="shared" si="18"/>
        <v>1156399.4352187603</v>
      </c>
      <c r="H44" s="103">
        <f t="shared" si="18"/>
        <v>1299480.6743801557</v>
      </c>
      <c r="I44" s="103">
        <f t="shared" si="18"/>
        <v>1454465.4493868349</v>
      </c>
      <c r="J44" s="103">
        <f t="shared" si="18"/>
        <v>1622054.9562967126</v>
      </c>
      <c r="K44" s="103">
        <f t="shared" si="18"/>
        <v>1750444.4871256493</v>
      </c>
      <c r="L44" s="103">
        <f t="shared" si="18"/>
        <v>1940709.1670988954</v>
      </c>
      <c r="M44" s="103">
        <f t="shared" si="18"/>
        <v>2084742.5989686602</v>
      </c>
      <c r="N44" s="103">
        <f t="shared" si="18"/>
        <v>2235341.0622840128</v>
      </c>
    </row>
    <row r="45" spans="1:14" ht="30" x14ac:dyDescent="0.25">
      <c r="A45" s="206"/>
      <c r="B45" s="89" t="s">
        <v>472</v>
      </c>
      <c r="C45" s="98">
        <f>+C18</f>
        <v>4975.221702162733</v>
      </c>
      <c r="D45" s="98">
        <f t="shared" ref="D45:N45" si="19">+D18</f>
        <v>6214.1061834225284</v>
      </c>
      <c r="E45" s="98">
        <f t="shared" si="19"/>
        <v>7572.8305972477119</v>
      </c>
      <c r="F45" s="98">
        <f t="shared" si="19"/>
        <v>9089.1496348868823</v>
      </c>
      <c r="G45" s="98">
        <f t="shared" si="19"/>
        <v>10768.863888797794</v>
      </c>
      <c r="H45" s="98">
        <f t="shared" si="19"/>
        <v>12617.774126863682</v>
      </c>
      <c r="I45" s="98">
        <f t="shared" si="19"/>
        <v>14641.681233127914</v>
      </c>
      <c r="J45" s="98">
        <f t="shared" si="19"/>
        <v>16846.38617103445</v>
      </c>
      <c r="K45" s="98">
        <f t="shared" si="19"/>
        <v>19133.894200554529</v>
      </c>
      <c r="L45" s="98">
        <f t="shared" si="19"/>
        <v>21705.71665206569</v>
      </c>
      <c r="M45" s="98">
        <f t="shared" si="19"/>
        <v>24346.892594470908</v>
      </c>
      <c r="N45" s="98">
        <f t="shared" si="19"/>
        <v>27165.085039334394</v>
      </c>
    </row>
    <row r="46" spans="1:14" x14ac:dyDescent="0.25">
      <c r="A46" s="206"/>
      <c r="B46" s="89" t="s">
        <v>473</v>
      </c>
      <c r="C46" s="110">
        <f>(C10*0.9-2)-MAX(Construction!$B$15:$E$15)-0.5</f>
        <v>23</v>
      </c>
      <c r="D46" s="110">
        <f>(D10*0.9-2)-MAX(Construction!$B$15:$E$15)-0.5</f>
        <v>27.5</v>
      </c>
      <c r="E46" s="110">
        <f>(E10*0.9-2)-MAX(Construction!$B$15:$E$15)-0.5</f>
        <v>32</v>
      </c>
      <c r="F46" s="110">
        <f>(F10*0.9-2)-MAX(Construction!$B$15:$E$15)-0.5</f>
        <v>36.5</v>
      </c>
      <c r="G46" s="110">
        <f>(G10*0.9-2)-MAX(Construction!$B$15:$E$15)-0.5</f>
        <v>41</v>
      </c>
      <c r="H46" s="110">
        <f>(H10*0.9-2)-MAX(Construction!$B$15:$E$15)-0.5</f>
        <v>45.5</v>
      </c>
      <c r="I46" s="110">
        <f>(I10*0.9-2)-MAX(Construction!$B$15:$E$15)-0.5</f>
        <v>50</v>
      </c>
      <c r="J46" s="110">
        <f>(J10*0.9-2)-MAX(Construction!$B$15:$E$15)-0.5</f>
        <v>54.5</v>
      </c>
      <c r="K46" s="110">
        <f>(K10*0.9-2)-MAX(Construction!$B$15:$E$15)-0.5</f>
        <v>59</v>
      </c>
      <c r="L46" s="110">
        <f>(L10*0.9-2)-MAX(Construction!$B$15:$E$15)-0.5</f>
        <v>63.5</v>
      </c>
      <c r="M46" s="110">
        <f>(M10*0.9-2)-MAX(Construction!$B$15:$E$15)-0.5</f>
        <v>68</v>
      </c>
      <c r="N46" s="110">
        <f>(N10*0.9-2)-MAX(Construction!$B$15:$E$15)-0.5</f>
        <v>72.5</v>
      </c>
    </row>
    <row r="47" spans="1:14" x14ac:dyDescent="0.25">
      <c r="A47" s="206"/>
      <c r="B47" s="89"/>
      <c r="C47" s="111">
        <f t="shared" ref="C47:N47" si="20">(((((C12-C13)/(C10-6)*(C10*0.9-2-0.6667*C46))+(C13)))^2)*PI()/4</f>
        <v>131.38081533374958</v>
      </c>
      <c r="D47" s="112">
        <f t="shared" si="20"/>
        <v>135.09108125825327</v>
      </c>
      <c r="E47" s="112">
        <f t="shared" si="20"/>
        <v>137.00866237986699</v>
      </c>
      <c r="F47" s="112">
        <f t="shared" si="20"/>
        <v>139.11853763882095</v>
      </c>
      <c r="G47" s="112">
        <f t="shared" si="20"/>
        <v>141.38253306181238</v>
      </c>
      <c r="H47" s="112">
        <f t="shared" si="20"/>
        <v>143.77371627540001</v>
      </c>
      <c r="I47" s="112">
        <f t="shared" si="20"/>
        <v>146.27254301205713</v>
      </c>
      <c r="J47" s="112">
        <f t="shared" si="20"/>
        <v>148.86448676593122</v>
      </c>
      <c r="K47" s="112">
        <f t="shared" si="20"/>
        <v>149.90319722384015</v>
      </c>
      <c r="L47" s="112">
        <f t="shared" si="20"/>
        <v>152.66974272117693</v>
      </c>
      <c r="M47" s="112">
        <f t="shared" si="20"/>
        <v>153.9074551104502</v>
      </c>
      <c r="N47" s="112">
        <f t="shared" si="20"/>
        <v>155.23733149862562</v>
      </c>
    </row>
    <row r="48" spans="1:14" x14ac:dyDescent="0.25">
      <c r="A48" s="206"/>
      <c r="B48" s="89" t="s">
        <v>413</v>
      </c>
      <c r="C48" s="103">
        <f>($C$39*PI()*C47^2)/(576*$C$40*($C$41*C46)^2)</f>
        <v>435833.68043446518</v>
      </c>
      <c r="D48" s="103">
        <f t="shared" ref="D48:N48" si="21">($C$39*PI()*D47^2)/(576*$C$40*($C$41*D46)^2)</f>
        <v>322329.84781510488</v>
      </c>
      <c r="E48" s="103">
        <f t="shared" si="21"/>
        <v>244854.81644716853</v>
      </c>
      <c r="F48" s="103">
        <f t="shared" si="21"/>
        <v>194042.48784471001</v>
      </c>
      <c r="G48" s="103">
        <f t="shared" si="21"/>
        <v>158831.3980434651</v>
      </c>
      <c r="H48" s="103">
        <f t="shared" si="21"/>
        <v>133367.11576734341</v>
      </c>
      <c r="I48" s="103">
        <f t="shared" si="21"/>
        <v>114313.67065442726</v>
      </c>
      <c r="J48" s="103">
        <f t="shared" si="21"/>
        <v>99655.611793451186</v>
      </c>
      <c r="K48" s="103">
        <f t="shared" si="21"/>
        <v>86224.42833228629</v>
      </c>
      <c r="L48" s="103">
        <f t="shared" si="21"/>
        <v>77209.555490382249</v>
      </c>
      <c r="M48" s="103">
        <f t="shared" si="21"/>
        <v>68424.879941481573</v>
      </c>
      <c r="N48" s="103">
        <f t="shared" si="21"/>
        <v>61239.111289028377</v>
      </c>
    </row>
    <row r="49" spans="1:14" x14ac:dyDescent="0.25">
      <c r="A49" s="206"/>
      <c r="B49" s="89" t="s">
        <v>414</v>
      </c>
      <c r="C49" s="104">
        <f t="shared" ref="C49:N49" si="22">(((((C12-C13)/(C10-6)*(C10*0.9-2-C46))+(C13))))</f>
        <v>11.907683469511806</v>
      </c>
      <c r="D49" s="104">
        <f t="shared" si="22"/>
        <v>11.894395951071852</v>
      </c>
      <c r="E49" s="104">
        <f t="shared" si="22"/>
        <v>11.824622808975631</v>
      </c>
      <c r="F49" s="104">
        <f t="shared" si="22"/>
        <v>11.766675623166908</v>
      </c>
      <c r="G49" s="104">
        <f t="shared" si="22"/>
        <v>11.717782685140794</v>
      </c>
      <c r="H49" s="104">
        <f t="shared" si="22"/>
        <v>11.675975680161946</v>
      </c>
      <c r="I49" s="104">
        <f t="shared" si="22"/>
        <v>11.639818270450508</v>
      </c>
      <c r="J49" s="104">
        <f t="shared" si="22"/>
        <v>11.608237748044317</v>
      </c>
      <c r="K49" s="104">
        <f t="shared" si="22"/>
        <v>11.542522777569364</v>
      </c>
      <c r="L49" s="104">
        <f t="shared" si="22"/>
        <v>11.519956667393144</v>
      </c>
      <c r="M49" s="104">
        <f t="shared" si="22"/>
        <v>11.465928453386333</v>
      </c>
      <c r="N49" s="104">
        <f t="shared" si="22"/>
        <v>11.417357634733746</v>
      </c>
    </row>
    <row r="50" spans="1:14" x14ac:dyDescent="0.25">
      <c r="A50" s="206"/>
      <c r="B50" s="89" t="s">
        <v>415</v>
      </c>
      <c r="C50" s="104">
        <f t="shared" ref="C50:N50" si="23">+C14</f>
        <v>14.985884755220964</v>
      </c>
      <c r="D50" s="104">
        <f t="shared" si="23"/>
        <v>15.556583672216995</v>
      </c>
      <c r="E50" s="104">
        <f t="shared" si="23"/>
        <v>15.974440584408754</v>
      </c>
      <c r="F50" s="104">
        <f t="shared" si="23"/>
        <v>16.394307909169388</v>
      </c>
      <c r="G50" s="104">
        <f t="shared" si="23"/>
        <v>16.815714456053065</v>
      </c>
      <c r="H50" s="104">
        <f t="shared" si="23"/>
        <v>17.238325611554778</v>
      </c>
      <c r="I50" s="104">
        <f t="shared" si="23"/>
        <v>17.661897198251953</v>
      </c>
      <c r="J50" s="104">
        <f t="shared" si="23"/>
        <v>18.086246855791018</v>
      </c>
      <c r="K50" s="104">
        <f t="shared" si="23"/>
        <v>18.36155420837569</v>
      </c>
      <c r="L50" s="104">
        <f t="shared" si="23"/>
        <v>18.787436315993848</v>
      </c>
      <c r="M50" s="104">
        <f t="shared" si="23"/>
        <v>19.064730417178101</v>
      </c>
      <c r="N50" s="104">
        <f t="shared" si="23"/>
        <v>19.342952275572575</v>
      </c>
    </row>
    <row r="51" spans="1:14" x14ac:dyDescent="0.25">
      <c r="A51" s="206"/>
      <c r="B51" s="89" t="s">
        <v>416</v>
      </c>
      <c r="C51" s="103">
        <f>PI()*C49^4/64</f>
        <v>986.91335402095149</v>
      </c>
      <c r="D51" s="103">
        <f t="shared" ref="D51:N51" si="24">PI()*D49^4/64</f>
        <v>982.51562345039201</v>
      </c>
      <c r="E51" s="103">
        <f t="shared" si="24"/>
        <v>959.6637348688331</v>
      </c>
      <c r="F51" s="103">
        <f t="shared" si="24"/>
        <v>940.99003363043278</v>
      </c>
      <c r="G51" s="103">
        <f t="shared" si="24"/>
        <v>925.44722276261029</v>
      </c>
      <c r="H51" s="103">
        <f t="shared" si="24"/>
        <v>912.31039985246446</v>
      </c>
      <c r="I51" s="103">
        <f t="shared" si="24"/>
        <v>901.06204823103747</v>
      </c>
      <c r="J51" s="103">
        <f t="shared" si="24"/>
        <v>891.32292312740628</v>
      </c>
      <c r="K51" s="103">
        <f t="shared" si="24"/>
        <v>871.31032348674364</v>
      </c>
      <c r="L51" s="103">
        <f t="shared" si="24"/>
        <v>864.5164882167926</v>
      </c>
      <c r="M51" s="103">
        <f t="shared" si="24"/>
        <v>848.41201181190297</v>
      </c>
      <c r="N51" s="103">
        <f t="shared" si="24"/>
        <v>834.12726807433069</v>
      </c>
    </row>
    <row r="52" spans="1:14" x14ac:dyDescent="0.25">
      <c r="A52" s="206"/>
      <c r="B52" s="89" t="s">
        <v>289</v>
      </c>
      <c r="C52" s="103">
        <f t="shared" ref="C52:N52" si="25">PI()^2*$C$39*C51/(C46*12)^2*(C50/C49)^2</f>
        <v>364538.4354997467</v>
      </c>
      <c r="D52" s="103">
        <f t="shared" si="25"/>
        <v>274174.78464669239</v>
      </c>
      <c r="E52" s="103">
        <f t="shared" si="25"/>
        <v>211011.24967158321</v>
      </c>
      <c r="F52" s="103">
        <f t="shared" si="25"/>
        <v>169156.10079851677</v>
      </c>
      <c r="G52" s="103">
        <f t="shared" si="25"/>
        <v>139872.86504521346</v>
      </c>
      <c r="H52" s="103">
        <f t="shared" si="25"/>
        <v>118504.10285425013</v>
      </c>
      <c r="I52" s="103">
        <f t="shared" si="25"/>
        <v>102378.02644140026</v>
      </c>
      <c r="J52" s="103">
        <f t="shared" si="25"/>
        <v>89870.291311566252</v>
      </c>
      <c r="K52" s="103">
        <f t="shared" si="25"/>
        <v>78144.063819111441</v>
      </c>
      <c r="L52" s="103">
        <f t="shared" si="25"/>
        <v>70350.783800678269</v>
      </c>
      <c r="M52" s="103">
        <f t="shared" si="25"/>
        <v>62580.873940799444</v>
      </c>
      <c r="N52" s="103">
        <f t="shared" si="25"/>
        <v>56192.761405209952</v>
      </c>
    </row>
    <row r="53" spans="1:14" x14ac:dyDescent="0.25">
      <c r="A53" s="206"/>
      <c r="B53" s="89" t="s">
        <v>423</v>
      </c>
      <c r="C53" s="103">
        <f>+C52*$E$8</f>
        <v>236949.98307483536</v>
      </c>
      <c r="D53" s="103">
        <f t="shared" ref="D53:N53" si="26">+D52*$E$8</f>
        <v>178213.61002035005</v>
      </c>
      <c r="E53" s="103">
        <f t="shared" si="26"/>
        <v>137157.31228652908</v>
      </c>
      <c r="F53" s="103">
        <f t="shared" si="26"/>
        <v>109951.4655190359</v>
      </c>
      <c r="G53" s="103">
        <f t="shared" si="26"/>
        <v>90917.362279388748</v>
      </c>
      <c r="H53" s="103">
        <f t="shared" si="26"/>
        <v>77027.666855262592</v>
      </c>
      <c r="I53" s="103">
        <f t="shared" si="26"/>
        <v>66545.717186910173</v>
      </c>
      <c r="J53" s="103">
        <f t="shared" si="26"/>
        <v>58415.689352518064</v>
      </c>
      <c r="K53" s="103">
        <f t="shared" si="26"/>
        <v>50793.641482422441</v>
      </c>
      <c r="L53" s="103">
        <f t="shared" si="26"/>
        <v>45728.009470440877</v>
      </c>
      <c r="M53" s="103">
        <f t="shared" si="26"/>
        <v>40677.56806151964</v>
      </c>
      <c r="N53" s="103">
        <f t="shared" si="26"/>
        <v>36525.294913386468</v>
      </c>
    </row>
    <row r="54" spans="1:14" x14ac:dyDescent="0.25">
      <c r="A54" s="206"/>
      <c r="B54" s="89"/>
      <c r="C54" s="98"/>
      <c r="D54" s="98"/>
      <c r="E54" s="98"/>
      <c r="F54" s="98"/>
      <c r="G54" s="98"/>
      <c r="H54" s="98"/>
      <c r="I54" s="98"/>
      <c r="J54" s="98"/>
      <c r="K54" s="98"/>
      <c r="L54" s="98"/>
      <c r="M54" s="98"/>
      <c r="N54" s="98"/>
    </row>
    <row r="55" spans="1:14" x14ac:dyDescent="0.25">
      <c r="A55" s="206"/>
      <c r="B55" s="89" t="s">
        <v>290</v>
      </c>
      <c r="C55" s="91">
        <f t="shared" ref="C55:N55" si="27">C10*0.9-2-C42</f>
        <v>23.5</v>
      </c>
      <c r="D55" s="91">
        <f t="shared" si="27"/>
        <v>28</v>
      </c>
      <c r="E55" s="91">
        <f t="shared" si="27"/>
        <v>32.5</v>
      </c>
      <c r="F55" s="91">
        <f t="shared" si="27"/>
        <v>37</v>
      </c>
      <c r="G55" s="91">
        <f t="shared" si="27"/>
        <v>41.5</v>
      </c>
      <c r="H55" s="91">
        <f t="shared" si="27"/>
        <v>46</v>
      </c>
      <c r="I55" s="91">
        <f t="shared" si="27"/>
        <v>50.5</v>
      </c>
      <c r="J55" s="91">
        <f t="shared" si="27"/>
        <v>55</v>
      </c>
      <c r="K55" s="91">
        <f t="shared" si="27"/>
        <v>59.5</v>
      </c>
      <c r="L55" s="91">
        <f t="shared" si="27"/>
        <v>64</v>
      </c>
      <c r="M55" s="91">
        <f t="shared" si="27"/>
        <v>68.5</v>
      </c>
      <c r="N55" s="91">
        <f t="shared" si="27"/>
        <v>73</v>
      </c>
    </row>
    <row r="56" spans="1:14" x14ac:dyDescent="0.25">
      <c r="A56" s="206"/>
      <c r="B56" s="89" t="s">
        <v>434</v>
      </c>
      <c r="C56" s="113">
        <f>+C45/C55</f>
        <v>211.71156179415885</v>
      </c>
      <c r="D56" s="113">
        <f t="shared" ref="D56:H56" si="28">+D45/D55</f>
        <v>221.93236369366173</v>
      </c>
      <c r="E56" s="113">
        <f t="shared" si="28"/>
        <v>233.01017222300652</v>
      </c>
      <c r="F56" s="113">
        <f t="shared" si="28"/>
        <v>245.65269283478059</v>
      </c>
      <c r="G56" s="113">
        <f t="shared" si="28"/>
        <v>259.49069611560952</v>
      </c>
      <c r="H56" s="113">
        <f t="shared" si="28"/>
        <v>274.29943754051482</v>
      </c>
      <c r="I56" s="113">
        <f>+I45/I55</f>
        <v>289.93428184411709</v>
      </c>
      <c r="J56" s="113">
        <f t="shared" ref="J56" si="29">+J45/J55</f>
        <v>306.29793038244452</v>
      </c>
      <c r="K56" s="113">
        <f t="shared" ref="K56" si="30">+K45/K55</f>
        <v>321.57805379083243</v>
      </c>
      <c r="L56" s="113">
        <f t="shared" ref="L56" si="31">+L45/L55</f>
        <v>339.15182268852641</v>
      </c>
      <c r="M56" s="113">
        <f t="shared" ref="M56" si="32">+M45/M55</f>
        <v>355.42908897037825</v>
      </c>
      <c r="N56" s="113">
        <f t="shared" ref="N56" si="33">+N45/N55</f>
        <v>372.12445259362181</v>
      </c>
    </row>
    <row r="57" spans="1:14" x14ac:dyDescent="0.25">
      <c r="A57" s="206"/>
      <c r="B57" s="89" t="s">
        <v>291</v>
      </c>
      <c r="C57" s="114">
        <f>SUM(Construction!B8:O8)</f>
        <v>25270</v>
      </c>
      <c r="D57" s="114">
        <f>+C57</f>
        <v>25270</v>
      </c>
      <c r="E57" s="114">
        <f t="shared" ref="E57:N57" si="34">+D57</f>
        <v>25270</v>
      </c>
      <c r="F57" s="114">
        <f t="shared" si="34"/>
        <v>25270</v>
      </c>
      <c r="G57" s="114">
        <f t="shared" si="34"/>
        <v>25270</v>
      </c>
      <c r="H57" s="114">
        <f t="shared" si="34"/>
        <v>25270</v>
      </c>
      <c r="I57" s="114">
        <f t="shared" si="34"/>
        <v>25270</v>
      </c>
      <c r="J57" s="114">
        <f t="shared" si="34"/>
        <v>25270</v>
      </c>
      <c r="K57" s="114">
        <f t="shared" si="34"/>
        <v>25270</v>
      </c>
      <c r="L57" s="114">
        <f t="shared" si="34"/>
        <v>25270</v>
      </c>
      <c r="M57" s="114">
        <f t="shared" si="34"/>
        <v>25270</v>
      </c>
      <c r="N57" s="114">
        <f t="shared" si="34"/>
        <v>25270</v>
      </c>
    </row>
    <row r="58" spans="1:14" x14ac:dyDescent="0.25">
      <c r="A58" s="206"/>
      <c r="B58" s="89" t="s">
        <v>320</v>
      </c>
      <c r="C58" s="114">
        <v>0</v>
      </c>
      <c r="D58" s="114">
        <f>+C58</f>
        <v>0</v>
      </c>
      <c r="E58" s="114">
        <f t="shared" ref="E58:N59" si="35">+D58</f>
        <v>0</v>
      </c>
      <c r="F58" s="114">
        <f t="shared" si="35"/>
        <v>0</v>
      </c>
      <c r="G58" s="114">
        <f t="shared" si="35"/>
        <v>0</v>
      </c>
      <c r="H58" s="114">
        <f t="shared" si="35"/>
        <v>0</v>
      </c>
      <c r="I58" s="114">
        <f t="shared" si="35"/>
        <v>0</v>
      </c>
      <c r="J58" s="114">
        <f t="shared" si="35"/>
        <v>0</v>
      </c>
      <c r="K58" s="114">
        <f t="shared" si="35"/>
        <v>0</v>
      </c>
      <c r="L58" s="114">
        <f t="shared" si="35"/>
        <v>0</v>
      </c>
      <c r="M58" s="114">
        <f t="shared" si="35"/>
        <v>0</v>
      </c>
      <c r="N58" s="114">
        <f t="shared" si="35"/>
        <v>0</v>
      </c>
    </row>
    <row r="59" spans="1:14" x14ac:dyDescent="0.25">
      <c r="A59" s="206"/>
      <c r="B59" s="89" t="s">
        <v>6</v>
      </c>
      <c r="C59" s="91">
        <f>+F6</f>
        <v>1.65</v>
      </c>
      <c r="D59" s="91">
        <f>+C59</f>
        <v>1.65</v>
      </c>
      <c r="E59" s="91">
        <f t="shared" si="35"/>
        <v>1.65</v>
      </c>
      <c r="F59" s="91">
        <f t="shared" si="35"/>
        <v>1.65</v>
      </c>
      <c r="G59" s="91">
        <f t="shared" si="35"/>
        <v>1.65</v>
      </c>
      <c r="H59" s="91">
        <f t="shared" si="35"/>
        <v>1.65</v>
      </c>
      <c r="I59" s="91">
        <f t="shared" si="35"/>
        <v>1.65</v>
      </c>
      <c r="J59" s="91">
        <f t="shared" si="35"/>
        <v>1.65</v>
      </c>
      <c r="K59" s="91">
        <f t="shared" si="35"/>
        <v>1.65</v>
      </c>
      <c r="L59" s="91">
        <f t="shared" si="35"/>
        <v>1.65</v>
      </c>
      <c r="M59" s="91">
        <f t="shared" si="35"/>
        <v>1.65</v>
      </c>
      <c r="N59" s="91">
        <f t="shared" si="35"/>
        <v>1.65</v>
      </c>
    </row>
    <row r="60" spans="1:14" x14ac:dyDescent="0.25">
      <c r="A60" s="206"/>
      <c r="B60" s="89" t="s">
        <v>292</v>
      </c>
      <c r="C60" s="114">
        <f>+(C58+C57)*C59</f>
        <v>41695.5</v>
      </c>
      <c r="D60" s="114">
        <f t="shared" ref="D60:N60" si="36">+(D58+D57)*D59</f>
        <v>41695.5</v>
      </c>
      <c r="E60" s="114">
        <f t="shared" si="36"/>
        <v>41695.5</v>
      </c>
      <c r="F60" s="114">
        <f t="shared" si="36"/>
        <v>41695.5</v>
      </c>
      <c r="G60" s="114">
        <f t="shared" si="36"/>
        <v>41695.5</v>
      </c>
      <c r="H60" s="114">
        <f t="shared" si="36"/>
        <v>41695.5</v>
      </c>
      <c r="I60" s="114">
        <f t="shared" si="36"/>
        <v>41695.5</v>
      </c>
      <c r="J60" s="114">
        <f t="shared" si="36"/>
        <v>41695.5</v>
      </c>
      <c r="K60" s="114">
        <f t="shared" si="36"/>
        <v>41695.5</v>
      </c>
      <c r="L60" s="114">
        <f t="shared" si="36"/>
        <v>41695.5</v>
      </c>
      <c r="M60" s="114">
        <f t="shared" si="36"/>
        <v>41695.5</v>
      </c>
      <c r="N60" s="114">
        <f t="shared" si="36"/>
        <v>41695.5</v>
      </c>
    </row>
    <row r="61" spans="1:14" x14ac:dyDescent="0.25">
      <c r="A61" s="206"/>
      <c r="B61" s="89" t="s">
        <v>301</v>
      </c>
      <c r="C61" s="103">
        <f>+C60</f>
        <v>41695.5</v>
      </c>
      <c r="D61" s="103">
        <f t="shared" ref="D61:H61" si="37">+D60</f>
        <v>41695.5</v>
      </c>
      <c r="E61" s="103">
        <f t="shared" si="37"/>
        <v>41695.5</v>
      </c>
      <c r="F61" s="103">
        <f t="shared" si="37"/>
        <v>41695.5</v>
      </c>
      <c r="G61" s="103">
        <f t="shared" si="37"/>
        <v>41695.5</v>
      </c>
      <c r="H61" s="103">
        <f t="shared" si="37"/>
        <v>41695.5</v>
      </c>
      <c r="I61" s="103">
        <f t="shared" ref="I61" si="38">+I60</f>
        <v>41695.5</v>
      </c>
      <c r="J61" s="103">
        <f t="shared" ref="J61" si="39">+J60</f>
        <v>41695.5</v>
      </c>
      <c r="K61" s="103">
        <f t="shared" ref="K61" si="40">+K60</f>
        <v>41695.5</v>
      </c>
      <c r="L61" s="103">
        <f t="shared" ref="L61" si="41">+L60</f>
        <v>41695.5</v>
      </c>
      <c r="M61" s="103">
        <f t="shared" ref="M61" si="42">+M60</f>
        <v>41695.5</v>
      </c>
      <c r="N61" s="103">
        <f t="shared" ref="N61" si="43">+N60</f>
        <v>41695.5</v>
      </c>
    </row>
    <row r="62" spans="1:14" x14ac:dyDescent="0.25">
      <c r="A62" s="206"/>
      <c r="B62" s="89" t="s">
        <v>300</v>
      </c>
      <c r="C62" s="103">
        <f>+C60*1.5</f>
        <v>62543.25</v>
      </c>
      <c r="D62" s="103">
        <f t="shared" ref="D62:N62" si="44">+D60*1.5</f>
        <v>62543.25</v>
      </c>
      <c r="E62" s="103">
        <f t="shared" si="44"/>
        <v>62543.25</v>
      </c>
      <c r="F62" s="103">
        <f t="shared" si="44"/>
        <v>62543.25</v>
      </c>
      <c r="G62" s="103">
        <f t="shared" si="44"/>
        <v>62543.25</v>
      </c>
      <c r="H62" s="103">
        <f t="shared" si="44"/>
        <v>62543.25</v>
      </c>
      <c r="I62" s="103">
        <f t="shared" si="44"/>
        <v>62543.25</v>
      </c>
      <c r="J62" s="103">
        <f t="shared" si="44"/>
        <v>62543.25</v>
      </c>
      <c r="K62" s="103">
        <f t="shared" si="44"/>
        <v>62543.25</v>
      </c>
      <c r="L62" s="103">
        <f t="shared" si="44"/>
        <v>62543.25</v>
      </c>
      <c r="M62" s="103">
        <f t="shared" si="44"/>
        <v>62543.25</v>
      </c>
      <c r="N62" s="103">
        <f t="shared" si="44"/>
        <v>62543.25</v>
      </c>
    </row>
    <row r="63" spans="1:14" ht="15.75" thickBot="1" x14ac:dyDescent="0.3">
      <c r="A63" s="207"/>
      <c r="B63" s="92" t="s">
        <v>302</v>
      </c>
      <c r="C63" s="115">
        <f>+C60*2</f>
        <v>83391</v>
      </c>
      <c r="D63" s="115">
        <f t="shared" ref="D63:N63" si="45">+D60*2</f>
        <v>83391</v>
      </c>
      <c r="E63" s="115">
        <f t="shared" si="45"/>
        <v>83391</v>
      </c>
      <c r="F63" s="115">
        <f t="shared" si="45"/>
        <v>83391</v>
      </c>
      <c r="G63" s="115">
        <f t="shared" si="45"/>
        <v>83391</v>
      </c>
      <c r="H63" s="115">
        <f t="shared" si="45"/>
        <v>83391</v>
      </c>
      <c r="I63" s="115">
        <f t="shared" si="45"/>
        <v>83391</v>
      </c>
      <c r="J63" s="115">
        <f t="shared" si="45"/>
        <v>83391</v>
      </c>
      <c r="K63" s="115">
        <f t="shared" si="45"/>
        <v>83391</v>
      </c>
      <c r="L63" s="115">
        <f t="shared" si="45"/>
        <v>83391</v>
      </c>
      <c r="M63" s="115">
        <f t="shared" si="45"/>
        <v>83391</v>
      </c>
      <c r="N63" s="115">
        <f t="shared" si="45"/>
        <v>83391</v>
      </c>
    </row>
    <row r="64" spans="1:14" ht="15.75" thickTop="1" x14ac:dyDescent="0.25">
      <c r="A64" s="206" t="s">
        <v>779</v>
      </c>
      <c r="C64" s="23"/>
    </row>
    <row r="65" spans="1:14" x14ac:dyDescent="0.25">
      <c r="A65" s="206"/>
      <c r="B65" s="3" t="s">
        <v>778</v>
      </c>
      <c r="C65" s="23">
        <f>SUM(Construction!B8:H8)</f>
        <v>13300</v>
      </c>
    </row>
    <row r="66" spans="1:14" x14ac:dyDescent="0.25">
      <c r="A66" s="206"/>
      <c r="B66" s="3" t="s">
        <v>319</v>
      </c>
      <c r="C66" s="23">
        <v>2</v>
      </c>
    </row>
    <row r="67" spans="1:14" x14ac:dyDescent="0.25">
      <c r="A67" s="206"/>
      <c r="B67" s="3" t="s">
        <v>316</v>
      </c>
      <c r="C67" s="23">
        <v>16000</v>
      </c>
    </row>
    <row r="68" spans="1:14" x14ac:dyDescent="0.25">
      <c r="A68" s="206"/>
      <c r="B68" s="3" t="s">
        <v>318</v>
      </c>
      <c r="C68" s="30">
        <v>0.9</v>
      </c>
    </row>
    <row r="69" spans="1:14" x14ac:dyDescent="0.25">
      <c r="A69" s="206"/>
      <c r="B69" s="3" t="s">
        <v>439</v>
      </c>
      <c r="C69" s="23">
        <f>+C67*C68</f>
        <v>14400</v>
      </c>
    </row>
    <row r="70" spans="1:14" x14ac:dyDescent="0.25">
      <c r="A70" s="206"/>
      <c r="B70" s="3" t="s">
        <v>317</v>
      </c>
      <c r="C70" s="23">
        <v>23000</v>
      </c>
    </row>
    <row r="71" spans="1:14" x14ac:dyDescent="0.25">
      <c r="A71" s="206"/>
      <c r="B71" s="3" t="s">
        <v>324</v>
      </c>
      <c r="C71" s="32" t="str">
        <f>ROUND(1/(TAN(ASIN(C65/$C$69/$C$66))),2)&amp;":1"</f>
        <v>1.92:1</v>
      </c>
      <c r="D71" s="31"/>
      <c r="E71" s="31"/>
      <c r="F71" s="31"/>
      <c r="G71" s="31"/>
      <c r="H71" s="31"/>
      <c r="I71" s="31"/>
      <c r="J71" s="31"/>
      <c r="K71" s="31"/>
      <c r="L71" s="31"/>
      <c r="M71" s="31"/>
      <c r="N71" s="31"/>
    </row>
    <row r="72" spans="1:14" x14ac:dyDescent="0.25">
      <c r="A72" s="206"/>
      <c r="B72" s="3" t="s">
        <v>325</v>
      </c>
      <c r="C72" s="32" t="str">
        <f>ROUND(1/(TAN(ASIN(C57/$C$70/2/$C$66))),2)&amp;":1"</f>
        <v>3.5:1</v>
      </c>
    </row>
    <row r="73" spans="1:14" x14ac:dyDescent="0.25">
      <c r="A73" s="206"/>
      <c r="C73" s="32">
        <f>ROUND(1/(TAN(ASIN(C57/$C$69/$C$66))),2)*C55</f>
        <v>12.925000000000001</v>
      </c>
    </row>
    <row r="74" spans="1:14" x14ac:dyDescent="0.25">
      <c r="A74" s="206"/>
    </row>
    <row r="75" spans="1:14" x14ac:dyDescent="0.25">
      <c r="A75" s="206"/>
      <c r="B75" s="3" t="s">
        <v>287</v>
      </c>
      <c r="C75">
        <v>30</v>
      </c>
    </row>
    <row r="76" spans="1:14" x14ac:dyDescent="0.25">
      <c r="A76" s="206"/>
      <c r="B76" s="3" t="s">
        <v>436</v>
      </c>
      <c r="C76">
        <v>228</v>
      </c>
    </row>
    <row r="77" spans="1:14" x14ac:dyDescent="0.25">
      <c r="A77" s="206"/>
      <c r="B77" s="3" t="s">
        <v>435</v>
      </c>
      <c r="C77" s="13">
        <f>SUM(Construction!B13:H13)*C76*(COS(C75/2*PI()/180))</f>
        <v>779.54464255163475</v>
      </c>
    </row>
    <row r="78" spans="1:14" ht="30" x14ac:dyDescent="0.25">
      <c r="A78" s="206"/>
      <c r="B78" s="3" t="s">
        <v>438</v>
      </c>
      <c r="C78" s="13">
        <f>C18/(0.9*(C10-(0.1*C10+2)))</f>
        <v>128.5587003142825</v>
      </c>
    </row>
    <row r="79" spans="1:14" x14ac:dyDescent="0.25">
      <c r="A79" s="206"/>
      <c r="B79" s="3" t="s">
        <v>437</v>
      </c>
      <c r="C79" s="13">
        <f>SUM(Construction!B8:H8)*2*SIN(C75/2*PI()/180)</f>
        <v>6884.5865997270521</v>
      </c>
    </row>
    <row r="80" spans="1:14" ht="30" x14ac:dyDescent="0.25">
      <c r="A80" s="206"/>
      <c r="B80" s="3" t="s">
        <v>440</v>
      </c>
      <c r="C80">
        <f>+E6</f>
        <v>2.5</v>
      </c>
    </row>
    <row r="81" spans="1:14" x14ac:dyDescent="0.25">
      <c r="A81" s="206"/>
      <c r="B81" s="3" t="s">
        <v>441</v>
      </c>
      <c r="C81">
        <f>+F6</f>
        <v>1.65</v>
      </c>
    </row>
    <row r="82" spans="1:14" x14ac:dyDescent="0.25">
      <c r="A82" s="206"/>
      <c r="B82" s="3" t="s">
        <v>442</v>
      </c>
      <c r="C82" s="23">
        <f>C80*(C78+C77)+C81*C79</f>
        <v>13629.826246714429</v>
      </c>
    </row>
    <row r="83" spans="1:14" x14ac:dyDescent="0.25">
      <c r="A83" s="206"/>
      <c r="B83" s="3" t="s">
        <v>316</v>
      </c>
      <c r="C83" s="23">
        <v>16000</v>
      </c>
    </row>
    <row r="84" spans="1:14" x14ac:dyDescent="0.25">
      <c r="A84" s="206"/>
      <c r="B84" s="3" t="s">
        <v>318</v>
      </c>
      <c r="C84">
        <v>0.9</v>
      </c>
    </row>
    <row r="85" spans="1:14" x14ac:dyDescent="0.25">
      <c r="A85" s="206"/>
      <c r="B85" s="3" t="s">
        <v>439</v>
      </c>
      <c r="C85" s="23">
        <f>+C83*C84</f>
        <v>14400</v>
      </c>
    </row>
    <row r="86" spans="1:14" x14ac:dyDescent="0.25">
      <c r="A86" s="206"/>
      <c r="B86" s="3" t="s">
        <v>317</v>
      </c>
      <c r="C86" s="23">
        <v>23000</v>
      </c>
    </row>
    <row r="87" spans="1:14" x14ac:dyDescent="0.25">
      <c r="A87" s="206"/>
      <c r="B87" s="3" t="s">
        <v>319</v>
      </c>
      <c r="C87" s="23">
        <v>4</v>
      </c>
      <c r="D87">
        <v>3</v>
      </c>
      <c r="E87">
        <v>2</v>
      </c>
      <c r="F87">
        <v>1</v>
      </c>
    </row>
    <row r="88" spans="1:14" x14ac:dyDescent="0.25">
      <c r="A88" s="206"/>
      <c r="B88" s="3" t="s">
        <v>324</v>
      </c>
      <c r="C88" s="2" t="str">
        <f>ROUND(1/(TAN(ASIN($C$82/$C$85/C87))),2)&amp;":1 "</f>
        <v xml:space="preserve">4.11:1 </v>
      </c>
      <c r="D88" s="2" t="str">
        <f t="shared" ref="D88:E88" si="46">ROUND(1/(TAN(ASIN($C$82/$C$85/D87))),2)&amp;":1 "</f>
        <v xml:space="preserve">3.01:1 </v>
      </c>
      <c r="E88" s="2" t="str">
        <f t="shared" si="46"/>
        <v xml:space="preserve">1.86:1 </v>
      </c>
      <c r="F88" s="2" t="str">
        <f t="shared" ref="F88" si="47">ROUND(1/(TAN(ASIN($C$82/$C$85/F87))),2)&amp;":1 "</f>
        <v xml:space="preserve">0.34:1 </v>
      </c>
    </row>
    <row r="89" spans="1:14" ht="15.75" thickBot="1" x14ac:dyDescent="0.3">
      <c r="A89" s="207"/>
      <c r="B89" s="132" t="s">
        <v>325</v>
      </c>
      <c r="C89" s="133" t="str">
        <f>ROUND(1/(TAN(ASIN($C$82/($C$86/1)/C87))),2)&amp;":1 "</f>
        <v xml:space="preserve">6.68:1 </v>
      </c>
      <c r="D89" s="133" t="str">
        <f>ROUND(1/(TAN(ASIN($C$82/($C$86/1)/D87))),2)&amp;":1 "</f>
        <v xml:space="preserve">4.96:1 </v>
      </c>
      <c r="E89" s="133" t="str">
        <f t="shared" ref="E89:F89" si="48">ROUND(1/(TAN(ASIN($C$82/($C$86/2)/E87))),2)&amp;":1 "</f>
        <v xml:space="preserve">1.36:1 </v>
      </c>
      <c r="F89" s="133" t="e">
        <f t="shared" si="48"/>
        <v>#NUM!</v>
      </c>
      <c r="G89" s="93"/>
      <c r="H89" s="93"/>
      <c r="I89" s="93"/>
      <c r="J89" s="93"/>
      <c r="K89" s="93"/>
      <c r="L89" s="93"/>
      <c r="M89" s="93"/>
      <c r="N89" s="93"/>
    </row>
    <row r="90" spans="1:14" ht="15.75" customHeight="1" thickTop="1" x14ac:dyDescent="0.25">
      <c r="A90" s="206" t="s">
        <v>791</v>
      </c>
      <c r="C90" s="23"/>
    </row>
    <row r="91" spans="1:14" x14ac:dyDescent="0.25">
      <c r="A91" s="206"/>
      <c r="B91" s="3" t="s">
        <v>792</v>
      </c>
      <c r="C91" s="23">
        <f>SUM(Construction!I8:O8)</f>
        <v>11970</v>
      </c>
    </row>
    <row r="92" spans="1:14" x14ac:dyDescent="0.25">
      <c r="A92" s="206"/>
      <c r="B92" s="3" t="s">
        <v>319</v>
      </c>
      <c r="C92" s="23">
        <v>2</v>
      </c>
    </row>
    <row r="93" spans="1:14" x14ac:dyDescent="0.25">
      <c r="A93" s="206"/>
      <c r="B93" s="3" t="s">
        <v>316</v>
      </c>
      <c r="C93" s="23">
        <v>16000</v>
      </c>
    </row>
    <row r="94" spans="1:14" x14ac:dyDescent="0.25">
      <c r="A94" s="206"/>
      <c r="B94" s="3" t="s">
        <v>318</v>
      </c>
      <c r="C94" s="30">
        <v>0.9</v>
      </c>
    </row>
    <row r="95" spans="1:14" x14ac:dyDescent="0.25">
      <c r="A95" s="206"/>
      <c r="B95" s="3" t="s">
        <v>439</v>
      </c>
      <c r="C95" s="23">
        <f>+C93*C94</f>
        <v>14400</v>
      </c>
    </row>
    <row r="96" spans="1:14" x14ac:dyDescent="0.25">
      <c r="A96" s="206"/>
      <c r="B96" s="3" t="s">
        <v>317</v>
      </c>
      <c r="C96" s="23">
        <v>23000</v>
      </c>
    </row>
    <row r="97" spans="1:6" x14ac:dyDescent="0.25">
      <c r="A97" s="206"/>
      <c r="B97" s="3" t="s">
        <v>324</v>
      </c>
      <c r="C97" s="32" t="str">
        <f>ROUND(1/(TAN(ASIN(C91/$C$69/$C$66))),2)&amp;":1"</f>
        <v>2.19:1</v>
      </c>
      <c r="D97" s="31"/>
      <c r="E97" s="31"/>
      <c r="F97" s="31"/>
    </row>
    <row r="98" spans="1:6" x14ac:dyDescent="0.25">
      <c r="A98" s="206"/>
      <c r="B98" s="3" t="s">
        <v>325</v>
      </c>
      <c r="C98" s="32" t="str">
        <f>ROUND(1/(TAN(ASIN(C83/$C$70/2/$C$66))),2)&amp;":1"</f>
        <v>5.66:1</v>
      </c>
    </row>
    <row r="99" spans="1:6" x14ac:dyDescent="0.25">
      <c r="A99" s="206"/>
      <c r="C99" s="32">
        <f>ROUND(1/(TAN(ASIN(C83/$C$69/$C$66))),2)*C81</f>
        <v>2.4749999999999996</v>
      </c>
    </row>
    <row r="100" spans="1:6" x14ac:dyDescent="0.25">
      <c r="A100" s="206"/>
    </row>
    <row r="101" spans="1:6" x14ac:dyDescent="0.25">
      <c r="A101" s="206"/>
      <c r="B101" s="3" t="s">
        <v>287</v>
      </c>
      <c r="C101">
        <v>30</v>
      </c>
    </row>
    <row r="102" spans="1:6" x14ac:dyDescent="0.25">
      <c r="A102" s="206"/>
      <c r="B102" s="3" t="s">
        <v>436</v>
      </c>
      <c r="C102">
        <v>228</v>
      </c>
    </row>
    <row r="103" spans="1:6" x14ac:dyDescent="0.25">
      <c r="A103" s="206"/>
      <c r="B103" s="3" t="s">
        <v>435</v>
      </c>
      <c r="C103" s="13">
        <f>SUM(Construction!I13:O13)*C102*(COS(C101/(2*PI()/180)))</f>
        <v>0</v>
      </c>
    </row>
    <row r="104" spans="1:6" ht="30" x14ac:dyDescent="0.25">
      <c r="A104" s="206"/>
      <c r="B104" s="3" t="s">
        <v>438</v>
      </c>
      <c r="C104" s="13">
        <f>C44/(0.9*(C10-(0.1*C10+2)))</f>
        <v>17236.294343073863</v>
      </c>
    </row>
    <row r="105" spans="1:6" x14ac:dyDescent="0.25">
      <c r="A105" s="206"/>
      <c r="B105" s="3" t="s">
        <v>437</v>
      </c>
      <c r="C105" s="13">
        <f>SUM(Construction!I8:O8)*2*SIN(C101/2*PI()/180)</f>
        <v>6196.1279397543467</v>
      </c>
    </row>
    <row r="106" spans="1:6" ht="30" x14ac:dyDescent="0.25">
      <c r="A106" s="206"/>
      <c r="B106" s="3" t="s">
        <v>440</v>
      </c>
      <c r="C106">
        <f>+E6</f>
        <v>2.5</v>
      </c>
    </row>
    <row r="107" spans="1:6" x14ac:dyDescent="0.25">
      <c r="A107" s="206"/>
      <c r="B107" s="3" t="s">
        <v>441</v>
      </c>
      <c r="C107">
        <f>+F6</f>
        <v>1.65</v>
      </c>
    </row>
    <row r="108" spans="1:6" x14ac:dyDescent="0.25">
      <c r="A108" s="206"/>
      <c r="B108" s="3" t="s">
        <v>442</v>
      </c>
      <c r="C108" s="23">
        <f>C106*(C104+C103)+C107*C105</f>
        <v>53314.346958279333</v>
      </c>
    </row>
    <row r="109" spans="1:6" x14ac:dyDescent="0.25">
      <c r="A109" s="206"/>
      <c r="B109" s="3" t="s">
        <v>316</v>
      </c>
      <c r="C109" s="23">
        <v>16000</v>
      </c>
    </row>
    <row r="110" spans="1:6" x14ac:dyDescent="0.25">
      <c r="A110" s="206"/>
      <c r="B110" s="3" t="s">
        <v>318</v>
      </c>
      <c r="C110">
        <v>0.9</v>
      </c>
    </row>
    <row r="111" spans="1:6" x14ac:dyDescent="0.25">
      <c r="A111" s="206"/>
      <c r="B111" s="3" t="s">
        <v>439</v>
      </c>
      <c r="C111" s="23">
        <f>+C109*C110</f>
        <v>14400</v>
      </c>
    </row>
    <row r="112" spans="1:6" x14ac:dyDescent="0.25">
      <c r="A112" s="206"/>
      <c r="B112" s="3" t="s">
        <v>317</v>
      </c>
      <c r="C112" s="23">
        <v>23000</v>
      </c>
    </row>
    <row r="113" spans="1:14" x14ac:dyDescent="0.25">
      <c r="A113" s="206"/>
      <c r="B113" s="3" t="s">
        <v>319</v>
      </c>
      <c r="C113" s="23">
        <v>4</v>
      </c>
      <c r="D113">
        <v>3</v>
      </c>
      <c r="E113">
        <v>2</v>
      </c>
      <c r="F113">
        <v>1</v>
      </c>
    </row>
    <row r="114" spans="1:14" x14ac:dyDescent="0.25">
      <c r="A114" s="206"/>
      <c r="B114" s="3" t="s">
        <v>324</v>
      </c>
      <c r="C114" s="2" t="str">
        <f>ROUND(1/(TAN(ASIN($C$108/$C$111/C113))),2)&amp;":1 "</f>
        <v xml:space="preserve">0.41:1 </v>
      </c>
      <c r="D114" s="2" t="e">
        <f t="shared" ref="D114:F114" si="49">ROUND(1/(TAN(ASIN($C$108/$C$111/D113))),2)&amp;":1 "</f>
        <v>#NUM!</v>
      </c>
      <c r="E114" s="2" t="e">
        <f t="shared" si="49"/>
        <v>#NUM!</v>
      </c>
      <c r="F114" s="2" t="e">
        <f t="shared" si="49"/>
        <v>#NUM!</v>
      </c>
    </row>
    <row r="115" spans="1:14" ht="15.75" thickBot="1" x14ac:dyDescent="0.3">
      <c r="A115" s="207"/>
      <c r="B115" s="132" t="s">
        <v>325</v>
      </c>
      <c r="C115" s="133" t="str">
        <f>ROUND(1/(TAN(ASIN($C$108/($C$112/1)/C113))),2)&amp;":1 "</f>
        <v xml:space="preserve">1.41:1 </v>
      </c>
      <c r="D115" s="133" t="str">
        <f t="shared" ref="D115:F115" si="50">ROUND(1/(TAN(ASIN($C$108/($C$112/1)/D113))),2)&amp;":1 "</f>
        <v xml:space="preserve">0.82:1 </v>
      </c>
      <c r="E115" s="133" t="e">
        <f t="shared" si="50"/>
        <v>#NUM!</v>
      </c>
      <c r="F115" s="133" t="e">
        <f t="shared" si="50"/>
        <v>#NUM!</v>
      </c>
      <c r="G115" s="93"/>
      <c r="H115" s="93"/>
      <c r="I115" s="93"/>
      <c r="J115" s="93"/>
      <c r="K115" s="93"/>
      <c r="L115" s="93"/>
      <c r="M115" s="93"/>
      <c r="N115" s="93"/>
    </row>
    <row r="116" spans="1:14" ht="15.75" thickTop="1" x14ac:dyDescent="0.25"/>
  </sheetData>
  <sheetProtection selectLockedCells="1"/>
  <mergeCells count="10">
    <mergeCell ref="A90:A115"/>
    <mergeCell ref="A64:A89"/>
    <mergeCell ref="D41:I41"/>
    <mergeCell ref="A2:A7"/>
    <mergeCell ref="A8:A9"/>
    <mergeCell ref="A39:A63"/>
    <mergeCell ref="A18:A21"/>
    <mergeCell ref="A22:A29"/>
    <mergeCell ref="A10:A17"/>
    <mergeCell ref="A30:A38"/>
  </mergeCells>
  <phoneticPr fontId="2" type="noConversion"/>
  <conditionalFormatting sqref="C61">
    <cfRule type="cellIs" dxfId="5" priority="9" operator="greaterThan">
      <formula>C44</formula>
    </cfRule>
  </conditionalFormatting>
  <conditionalFormatting sqref="C62">
    <cfRule type="cellIs" dxfId="4" priority="8" operator="greaterThan">
      <formula>C44</formula>
    </cfRule>
  </conditionalFormatting>
  <conditionalFormatting sqref="C63">
    <cfRule type="cellIs" dxfId="3" priority="7" operator="greaterThan">
      <formula>C44</formula>
    </cfRule>
  </conditionalFormatting>
  <conditionalFormatting sqref="D61:N61">
    <cfRule type="cellIs" dxfId="2" priority="6" operator="greaterThan">
      <formula>D44</formula>
    </cfRule>
  </conditionalFormatting>
  <conditionalFormatting sqref="D62:N62">
    <cfRule type="cellIs" dxfId="1" priority="5" operator="greaterThan">
      <formula>D44</formula>
    </cfRule>
  </conditionalFormatting>
  <conditionalFormatting sqref="D63:N63">
    <cfRule type="cellIs" dxfId="0" priority="4" operator="greaterThan">
      <formula>D44</formula>
    </cfRule>
  </conditionalFormatting>
  <pageMargins left="0.7" right="0.7" top="0.75" bottom="0.75" header="0.3" footer="0.3"/>
  <pageSetup scale="63"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0"/>
  <sheetViews>
    <sheetView workbookViewId="0">
      <selection activeCell="L11" sqref="L11:M11"/>
    </sheetView>
  </sheetViews>
  <sheetFormatPr defaultRowHeight="15" x14ac:dyDescent="0.25"/>
  <cols>
    <col min="1" max="1" width="41.140625" style="2" bestFit="1" customWidth="1"/>
    <col min="2" max="15" width="10" customWidth="1"/>
  </cols>
  <sheetData>
    <row r="1" spans="1:16" x14ac:dyDescent="0.25">
      <c r="B1" s="211" t="s">
        <v>236</v>
      </c>
      <c r="C1" s="212"/>
      <c r="D1" s="212"/>
      <c r="E1" s="213"/>
      <c r="F1" s="211" t="s">
        <v>777</v>
      </c>
      <c r="G1" s="212"/>
      <c r="H1" s="213"/>
      <c r="I1" s="211" t="s">
        <v>245</v>
      </c>
      <c r="J1" s="212"/>
      <c r="K1" s="212"/>
      <c r="L1" s="213"/>
      <c r="M1" s="211" t="s">
        <v>238</v>
      </c>
      <c r="N1" s="212"/>
      <c r="O1" s="213"/>
    </row>
    <row r="2" spans="1:16" ht="15.75" thickBot="1" x14ac:dyDescent="0.3">
      <c r="B2" s="187" t="s">
        <v>9</v>
      </c>
      <c r="C2" s="188" t="s">
        <v>235</v>
      </c>
      <c r="D2" s="188" t="s">
        <v>235</v>
      </c>
      <c r="E2" s="189" t="s">
        <v>235</v>
      </c>
      <c r="F2" s="187" t="s">
        <v>235</v>
      </c>
      <c r="G2" s="188" t="s">
        <v>235</v>
      </c>
      <c r="H2" s="189" t="s">
        <v>235</v>
      </c>
      <c r="I2" s="187" t="s">
        <v>235</v>
      </c>
      <c r="J2" s="188" t="s">
        <v>235</v>
      </c>
      <c r="K2" s="188" t="s">
        <v>235</v>
      </c>
      <c r="L2" s="189" t="s">
        <v>237</v>
      </c>
      <c r="M2" s="187" t="s">
        <v>235</v>
      </c>
      <c r="N2" s="188" t="s">
        <v>235</v>
      </c>
      <c r="O2" s="189" t="s">
        <v>235</v>
      </c>
    </row>
    <row r="3" spans="1:16" x14ac:dyDescent="0.25">
      <c r="A3" s="2" t="s">
        <v>783</v>
      </c>
      <c r="B3" s="251" t="s">
        <v>793</v>
      </c>
      <c r="C3" s="252" t="s">
        <v>794</v>
      </c>
      <c r="D3" s="91" t="str">
        <f>IF($C$3="","",$C$3)</f>
        <v>magnolia</v>
      </c>
      <c r="E3" s="91" t="str">
        <f>IF($C$3="","",$C$3)</f>
        <v>magnolia</v>
      </c>
      <c r="F3" s="251" t="s">
        <v>794</v>
      </c>
      <c r="G3" s="91" t="str">
        <f>IF(F3="","",F3)</f>
        <v>magnolia</v>
      </c>
      <c r="H3" s="164" t="str">
        <f>+G3</f>
        <v>magnolia</v>
      </c>
      <c r="I3" s="251"/>
      <c r="J3" s="91" t="str">
        <f>IF(I3="","",I3)</f>
        <v/>
      </c>
      <c r="K3" s="91" t="str">
        <f>+J3</f>
        <v/>
      </c>
      <c r="L3" s="253"/>
      <c r="M3" s="251"/>
      <c r="N3" s="91" t="str">
        <f>IF(M3="","",M3)</f>
        <v/>
      </c>
      <c r="O3" s="164" t="str">
        <f>+N3</f>
        <v/>
      </c>
    </row>
    <row r="4" spans="1:16" s="3" customFormat="1" ht="45" x14ac:dyDescent="0.25">
      <c r="A4" s="24" t="s">
        <v>445</v>
      </c>
      <c r="B4" s="165" t="str">
        <f t="shared" ref="B4:O4" si="0">IF(B3="","",VLOOKUP(B3,Conductor,2,FALSE)&amp;" "&amp;VLOOKUP(B3,Conductor,3,FALSE)&amp;" "&amp;VLOOKUP(B3,Conductor,4,FALSE))</f>
        <v>High Strength 3 OHGW</v>
      </c>
      <c r="C4" s="166" t="str">
        <f t="shared" si="0"/>
        <v>954 37 AAC</v>
      </c>
      <c r="D4" s="166" t="str">
        <f t="shared" si="0"/>
        <v>954 37 AAC</v>
      </c>
      <c r="E4" s="167" t="str">
        <f t="shared" si="0"/>
        <v>954 37 AAC</v>
      </c>
      <c r="F4" s="165" t="str">
        <f t="shared" ref="F4:H4" si="1">IF(F3="","",VLOOKUP(F3,Conductor,2,FALSE)&amp;" "&amp;VLOOKUP(F3,Conductor,3,FALSE)&amp;" "&amp;VLOOKUP(F3,Conductor,4,FALSE))</f>
        <v>954 37 AAC</v>
      </c>
      <c r="G4" s="166" t="str">
        <f t="shared" si="1"/>
        <v>954 37 AAC</v>
      </c>
      <c r="H4" s="167" t="str">
        <f t="shared" si="1"/>
        <v>954 37 AAC</v>
      </c>
      <c r="I4" s="165" t="str">
        <f t="shared" si="0"/>
        <v/>
      </c>
      <c r="J4" s="166" t="str">
        <f t="shared" si="0"/>
        <v/>
      </c>
      <c r="K4" s="166" t="str">
        <f t="shared" si="0"/>
        <v/>
      </c>
      <c r="L4" s="167" t="str">
        <f t="shared" si="0"/>
        <v/>
      </c>
      <c r="M4" s="165" t="str">
        <f t="shared" si="0"/>
        <v/>
      </c>
      <c r="N4" s="166" t="str">
        <f t="shared" si="0"/>
        <v/>
      </c>
      <c r="O4" s="167" t="str">
        <f t="shared" si="0"/>
        <v/>
      </c>
    </row>
    <row r="5" spans="1:16" x14ac:dyDescent="0.25">
      <c r="A5" s="2" t="s">
        <v>8</v>
      </c>
      <c r="B5" s="186">
        <f>IF(ISERROR(VLOOKUP(B3,Conductor,8,FALSE)),0,VLOOKUP(B3,Conductor,8,FALSE))</f>
        <v>0.375</v>
      </c>
      <c r="C5" s="91">
        <f t="shared" ref="C5:O5" si="2">IF(ISERROR(VLOOKUP(C3,Conductor,8,FALSE)),0,VLOOKUP(C3,Conductor,8,FALSE))</f>
        <v>1.1240000000000001</v>
      </c>
      <c r="D5" s="91">
        <f t="shared" si="2"/>
        <v>1.1240000000000001</v>
      </c>
      <c r="E5" s="164">
        <f t="shared" si="2"/>
        <v>1.1240000000000001</v>
      </c>
      <c r="F5" s="163">
        <f t="shared" ref="F5:H5" si="3">IF(ISERROR(VLOOKUP(F3,Conductor,8,FALSE)),0,VLOOKUP(F3,Conductor,8,FALSE))</f>
        <v>1.1240000000000001</v>
      </c>
      <c r="G5" s="91">
        <f t="shared" si="3"/>
        <v>1.1240000000000001</v>
      </c>
      <c r="H5" s="164">
        <f t="shared" si="3"/>
        <v>1.1240000000000001</v>
      </c>
      <c r="I5" s="163">
        <f t="shared" si="2"/>
        <v>0</v>
      </c>
      <c r="J5" s="91">
        <f t="shared" si="2"/>
        <v>0</v>
      </c>
      <c r="K5" s="91">
        <f t="shared" si="2"/>
        <v>0</v>
      </c>
      <c r="L5" s="164">
        <f t="shared" si="2"/>
        <v>0</v>
      </c>
      <c r="M5" s="163">
        <f t="shared" si="2"/>
        <v>0</v>
      </c>
      <c r="N5" s="91">
        <f t="shared" si="2"/>
        <v>0</v>
      </c>
      <c r="O5" s="164">
        <f t="shared" si="2"/>
        <v>0</v>
      </c>
    </row>
    <row r="6" spans="1:16" x14ac:dyDescent="0.25">
      <c r="A6" s="2" t="s">
        <v>239</v>
      </c>
      <c r="B6" s="163">
        <f>'Pole &amp; Guy Loading'!C4</f>
        <v>0.25</v>
      </c>
      <c r="C6" s="91">
        <f>+B6</f>
        <v>0.25</v>
      </c>
      <c r="D6" s="91">
        <f t="shared" ref="D6:O6" si="4">+C6</f>
        <v>0.25</v>
      </c>
      <c r="E6" s="164">
        <f t="shared" si="4"/>
        <v>0.25</v>
      </c>
      <c r="F6" s="163">
        <f>+E6</f>
        <v>0.25</v>
      </c>
      <c r="G6" s="91">
        <f t="shared" ref="G6:G8" si="5">+F6</f>
        <v>0.25</v>
      </c>
      <c r="H6" s="164">
        <f t="shared" ref="H6:I6" si="6">+G6</f>
        <v>0.25</v>
      </c>
      <c r="I6" s="163">
        <f t="shared" si="6"/>
        <v>0.25</v>
      </c>
      <c r="J6" s="91">
        <f t="shared" si="4"/>
        <v>0.25</v>
      </c>
      <c r="K6" s="91">
        <f t="shared" si="4"/>
        <v>0.25</v>
      </c>
      <c r="L6" s="164">
        <f t="shared" si="4"/>
        <v>0.25</v>
      </c>
      <c r="M6" s="163">
        <f t="shared" si="4"/>
        <v>0.25</v>
      </c>
      <c r="N6" s="91">
        <f t="shared" si="4"/>
        <v>0.25</v>
      </c>
      <c r="O6" s="164">
        <f t="shared" si="4"/>
        <v>0.25</v>
      </c>
    </row>
    <row r="7" spans="1:16" x14ac:dyDescent="0.25">
      <c r="A7" s="2" t="s">
        <v>240</v>
      </c>
      <c r="B7" s="163">
        <f>+'Pole &amp; Guy Loading'!C3</f>
        <v>4</v>
      </c>
      <c r="C7" s="91">
        <f>+B7</f>
        <v>4</v>
      </c>
      <c r="D7" s="91">
        <f t="shared" ref="D7:O11" si="7">+C7</f>
        <v>4</v>
      </c>
      <c r="E7" s="164">
        <f>+D7</f>
        <v>4</v>
      </c>
      <c r="F7" s="163">
        <f>+E7</f>
        <v>4</v>
      </c>
      <c r="G7" s="91">
        <f t="shared" si="5"/>
        <v>4</v>
      </c>
      <c r="H7" s="164">
        <f>+G7</f>
        <v>4</v>
      </c>
      <c r="I7" s="193">
        <f>+H7</f>
        <v>4</v>
      </c>
      <c r="J7" s="91">
        <f t="shared" si="7"/>
        <v>4</v>
      </c>
      <c r="K7" s="91">
        <f t="shared" si="7"/>
        <v>4</v>
      </c>
      <c r="L7" s="164">
        <f>+K7</f>
        <v>4</v>
      </c>
      <c r="M7" s="163">
        <f t="shared" si="7"/>
        <v>4</v>
      </c>
      <c r="N7" s="91">
        <f t="shared" si="7"/>
        <v>4</v>
      </c>
      <c r="O7" s="164">
        <f t="shared" si="7"/>
        <v>4</v>
      </c>
    </row>
    <row r="8" spans="1:16" x14ac:dyDescent="0.25">
      <c r="A8" s="2" t="s">
        <v>241</v>
      </c>
      <c r="B8" s="254">
        <v>1000</v>
      </c>
      <c r="C8" s="255">
        <v>4100</v>
      </c>
      <c r="D8" s="91">
        <f t="shared" si="7"/>
        <v>4100</v>
      </c>
      <c r="E8" s="164">
        <f>+D8</f>
        <v>4100</v>
      </c>
      <c r="F8" s="254"/>
      <c r="G8" s="91">
        <f t="shared" si="5"/>
        <v>0</v>
      </c>
      <c r="H8" s="164">
        <f>+G8</f>
        <v>0</v>
      </c>
      <c r="I8" s="254">
        <v>3490</v>
      </c>
      <c r="J8" s="91">
        <f t="shared" si="7"/>
        <v>3490</v>
      </c>
      <c r="K8" s="91">
        <f t="shared" si="7"/>
        <v>3490</v>
      </c>
      <c r="L8" s="256">
        <v>1500</v>
      </c>
      <c r="M8" s="254"/>
      <c r="N8" s="91">
        <f t="shared" si="7"/>
        <v>0</v>
      </c>
      <c r="O8" s="164">
        <f t="shared" si="7"/>
        <v>0</v>
      </c>
    </row>
    <row r="9" spans="1:16" x14ac:dyDescent="0.25">
      <c r="A9" s="2" t="s">
        <v>250</v>
      </c>
      <c r="B9" s="168">
        <f t="shared" ref="B9:O9" si="8">IF(ISERROR(VLOOKUP(B3,Conductor,14,FALSE)),0,+B8/VLOOKUP(B3,Conductor,14,FALSE))</f>
        <v>0.11961722488038277</v>
      </c>
      <c r="C9" s="169">
        <f t="shared" si="8"/>
        <v>0.25</v>
      </c>
      <c r="D9" s="169">
        <f t="shared" si="8"/>
        <v>0.25</v>
      </c>
      <c r="E9" s="170">
        <f t="shared" si="8"/>
        <v>0.25</v>
      </c>
      <c r="F9" s="168">
        <f t="shared" ref="F9:H9" si="9">IF(ISERROR(VLOOKUP(F3,Conductor,14,FALSE)),0,+F8/VLOOKUP(F3,Conductor,14,FALSE))</f>
        <v>0</v>
      </c>
      <c r="G9" s="169">
        <f t="shared" si="9"/>
        <v>0</v>
      </c>
      <c r="H9" s="170">
        <f t="shared" si="9"/>
        <v>0</v>
      </c>
      <c r="I9" s="168">
        <f t="shared" si="8"/>
        <v>0</v>
      </c>
      <c r="J9" s="169">
        <f t="shared" si="8"/>
        <v>0</v>
      </c>
      <c r="K9" s="169">
        <f t="shared" si="8"/>
        <v>0</v>
      </c>
      <c r="L9" s="170">
        <f t="shared" si="8"/>
        <v>0</v>
      </c>
      <c r="M9" s="168">
        <f t="shared" si="8"/>
        <v>0</v>
      </c>
      <c r="N9" s="169">
        <f t="shared" si="8"/>
        <v>0</v>
      </c>
      <c r="O9" s="170">
        <f t="shared" si="8"/>
        <v>0</v>
      </c>
    </row>
    <row r="10" spans="1:16" x14ac:dyDescent="0.25">
      <c r="A10" s="2" t="s">
        <v>246</v>
      </c>
      <c r="B10" s="163">
        <v>7</v>
      </c>
      <c r="C10" s="91">
        <v>9</v>
      </c>
      <c r="D10" s="91">
        <v>9</v>
      </c>
      <c r="E10" s="164">
        <v>9</v>
      </c>
      <c r="F10" s="163">
        <v>9</v>
      </c>
      <c r="G10" s="91">
        <v>9</v>
      </c>
      <c r="H10" s="164">
        <v>9</v>
      </c>
      <c r="I10" s="163">
        <f>+E10</f>
        <v>9</v>
      </c>
      <c r="J10" s="91">
        <f t="shared" si="7"/>
        <v>9</v>
      </c>
      <c r="K10" s="91">
        <f t="shared" si="7"/>
        <v>9</v>
      </c>
      <c r="L10" s="164">
        <f>+K10</f>
        <v>9</v>
      </c>
      <c r="M10" s="163">
        <f t="shared" si="7"/>
        <v>9</v>
      </c>
      <c r="N10" s="91">
        <f t="shared" si="7"/>
        <v>9</v>
      </c>
      <c r="O10" s="164">
        <f t="shared" si="7"/>
        <v>9</v>
      </c>
    </row>
    <row r="11" spans="1:16" x14ac:dyDescent="0.25">
      <c r="A11" s="2" t="s">
        <v>247</v>
      </c>
      <c r="B11" s="254">
        <v>27</v>
      </c>
      <c r="C11" s="91">
        <f>+B11</f>
        <v>27</v>
      </c>
      <c r="D11" s="91">
        <f t="shared" si="7"/>
        <v>27</v>
      </c>
      <c r="E11" s="164">
        <f>+D11</f>
        <v>27</v>
      </c>
      <c r="F11" s="163">
        <f>+E11</f>
        <v>27</v>
      </c>
      <c r="G11" s="91">
        <f t="shared" ref="G11" si="10">+F11</f>
        <v>27</v>
      </c>
      <c r="H11" s="164">
        <f>+G11</f>
        <v>27</v>
      </c>
      <c r="I11" s="254">
        <v>18.5</v>
      </c>
      <c r="J11" s="91">
        <f t="shared" si="7"/>
        <v>18.5</v>
      </c>
      <c r="K11" s="91">
        <f t="shared" si="7"/>
        <v>18.5</v>
      </c>
      <c r="L11" s="256">
        <v>15.5</v>
      </c>
      <c r="M11" s="254"/>
      <c r="N11" s="91">
        <f t="shared" si="7"/>
        <v>0</v>
      </c>
      <c r="O11" s="164">
        <f t="shared" si="7"/>
        <v>0</v>
      </c>
    </row>
    <row r="12" spans="1:16" x14ac:dyDescent="0.25">
      <c r="A12"/>
      <c r="B12" s="163"/>
      <c r="C12" s="91"/>
      <c r="D12" s="91"/>
      <c r="E12" s="164"/>
      <c r="F12" s="163"/>
      <c r="G12" s="91"/>
      <c r="H12" s="164"/>
      <c r="I12" s="163"/>
      <c r="J12" s="91"/>
      <c r="K12" s="91"/>
      <c r="L12" s="164"/>
      <c r="M12" s="163"/>
      <c r="N12" s="91"/>
      <c r="O12" s="164"/>
    </row>
    <row r="13" spans="1:16" x14ac:dyDescent="0.25">
      <c r="A13" s="2" t="s">
        <v>242</v>
      </c>
      <c r="B13" s="171">
        <f>IF(B5=0,0,((B5+2*B6)*B7/12))</f>
        <v>0.29166666666666669</v>
      </c>
      <c r="C13" s="172">
        <f t="shared" ref="C13:O13" si="11">IF(C5=0,0,((C5+2*C6)*C7/12))</f>
        <v>0.54133333333333333</v>
      </c>
      <c r="D13" s="172">
        <f t="shared" si="11"/>
        <v>0.54133333333333333</v>
      </c>
      <c r="E13" s="173">
        <f t="shared" si="11"/>
        <v>0.54133333333333333</v>
      </c>
      <c r="F13" s="171">
        <f t="shared" ref="F13:H13" si="12">IF(F5=0,0,((F5+2*F6)*F7/12))</f>
        <v>0.54133333333333333</v>
      </c>
      <c r="G13" s="172">
        <f t="shared" si="12"/>
        <v>0.54133333333333333</v>
      </c>
      <c r="H13" s="173">
        <f t="shared" si="12"/>
        <v>0.54133333333333333</v>
      </c>
      <c r="I13" s="171">
        <f>IF(I5=0,0,((I5+2*I6)*I7/12))/2</f>
        <v>0</v>
      </c>
      <c r="J13" s="172">
        <f t="shared" ref="J13:L13" si="13">IF(J5=0,0,((J5+2*J6)*J7/12))/2</f>
        <v>0</v>
      </c>
      <c r="K13" s="172">
        <f t="shared" si="13"/>
        <v>0</v>
      </c>
      <c r="L13" s="173">
        <f t="shared" si="13"/>
        <v>0</v>
      </c>
      <c r="M13" s="171">
        <f t="shared" si="11"/>
        <v>0</v>
      </c>
      <c r="N13" s="172">
        <f t="shared" si="11"/>
        <v>0</v>
      </c>
      <c r="O13" s="173">
        <f t="shared" si="11"/>
        <v>0</v>
      </c>
      <c r="P13" s="12"/>
    </row>
    <row r="14" spans="1:16" x14ac:dyDescent="0.25">
      <c r="A14" s="2" t="s">
        <v>429</v>
      </c>
      <c r="B14" s="171">
        <f t="shared" ref="B14:O14" si="14">IF(ISERROR(VLOOKUP(B3,Conductor,11,FALSE)),0,VLOOKUP(B3,Conductor,11,FALSE)/1000)</f>
        <v>0.22</v>
      </c>
      <c r="C14" s="172">
        <f t="shared" si="14"/>
        <v>0.89400000000000002</v>
      </c>
      <c r="D14" s="172">
        <f t="shared" si="14"/>
        <v>0.89400000000000002</v>
      </c>
      <c r="E14" s="173">
        <f t="shared" si="14"/>
        <v>0.89400000000000002</v>
      </c>
      <c r="F14" s="171">
        <f t="shared" ref="F14:H14" si="15">IF(ISERROR(VLOOKUP(F3,Conductor,11,FALSE)),0,VLOOKUP(F3,Conductor,11,FALSE)/1000)</f>
        <v>0.89400000000000002</v>
      </c>
      <c r="G14" s="172">
        <f t="shared" si="15"/>
        <v>0.89400000000000002</v>
      </c>
      <c r="H14" s="173">
        <f t="shared" si="15"/>
        <v>0.89400000000000002</v>
      </c>
      <c r="I14" s="171">
        <f t="shared" si="14"/>
        <v>0</v>
      </c>
      <c r="J14" s="172">
        <f t="shared" si="14"/>
        <v>0</v>
      </c>
      <c r="K14" s="172">
        <f t="shared" si="14"/>
        <v>0</v>
      </c>
      <c r="L14" s="173">
        <f t="shared" si="14"/>
        <v>0</v>
      </c>
      <c r="M14" s="171">
        <f t="shared" si="14"/>
        <v>0</v>
      </c>
      <c r="N14" s="172">
        <f t="shared" si="14"/>
        <v>0</v>
      </c>
      <c r="O14" s="173">
        <f t="shared" si="14"/>
        <v>0</v>
      </c>
      <c r="P14" s="12"/>
    </row>
    <row r="15" spans="1:16" x14ac:dyDescent="0.25">
      <c r="A15" s="2" t="s">
        <v>243</v>
      </c>
      <c r="B15" s="254">
        <v>0.5</v>
      </c>
      <c r="C15" s="255">
        <v>7.5</v>
      </c>
      <c r="D15" s="255">
        <v>13.5</v>
      </c>
      <c r="E15" s="256">
        <v>19.5</v>
      </c>
      <c r="F15" s="254">
        <v>7.5</v>
      </c>
      <c r="G15" s="255">
        <v>13.5</v>
      </c>
      <c r="H15" s="256">
        <v>19.5</v>
      </c>
      <c r="I15" s="254">
        <v>1</v>
      </c>
      <c r="J15" s="255">
        <v>1</v>
      </c>
      <c r="K15" s="255">
        <v>1</v>
      </c>
      <c r="L15" s="256">
        <v>9</v>
      </c>
      <c r="M15" s="254">
        <v>5</v>
      </c>
      <c r="N15" s="255">
        <v>5</v>
      </c>
      <c r="O15" s="256">
        <v>5</v>
      </c>
      <c r="P15" s="12"/>
    </row>
    <row r="16" spans="1:16" x14ac:dyDescent="0.25">
      <c r="A16" s="2" t="s">
        <v>244</v>
      </c>
      <c r="B16" s="174">
        <f t="shared" ref="B16:O16" si="16">+B13*B15</f>
        <v>0.14583333333333334</v>
      </c>
      <c r="C16" s="175">
        <f t="shared" si="16"/>
        <v>4.0599999999999996</v>
      </c>
      <c r="D16" s="175">
        <f t="shared" si="16"/>
        <v>7.3079999999999998</v>
      </c>
      <c r="E16" s="176">
        <f t="shared" si="16"/>
        <v>10.555999999999999</v>
      </c>
      <c r="F16" s="174">
        <f t="shared" ref="F16:H16" si="17">+F13*F15</f>
        <v>4.0599999999999996</v>
      </c>
      <c r="G16" s="175">
        <f t="shared" si="17"/>
        <v>7.3079999999999998</v>
      </c>
      <c r="H16" s="176">
        <f t="shared" si="17"/>
        <v>10.555999999999999</v>
      </c>
      <c r="I16" s="174">
        <f t="shared" si="16"/>
        <v>0</v>
      </c>
      <c r="J16" s="175">
        <f t="shared" si="16"/>
        <v>0</v>
      </c>
      <c r="K16" s="175">
        <f t="shared" si="16"/>
        <v>0</v>
      </c>
      <c r="L16" s="176">
        <f t="shared" si="16"/>
        <v>0</v>
      </c>
      <c r="M16" s="174">
        <f t="shared" si="16"/>
        <v>0</v>
      </c>
      <c r="N16" s="175">
        <f t="shared" si="16"/>
        <v>0</v>
      </c>
      <c r="O16" s="176">
        <f t="shared" si="16"/>
        <v>0</v>
      </c>
      <c r="P16" s="12"/>
    </row>
    <row r="17" spans="1:15" x14ac:dyDescent="0.25">
      <c r="A17" s="2" t="s">
        <v>329</v>
      </c>
      <c r="B17" s="177">
        <f>+B15*B8</f>
        <v>500</v>
      </c>
      <c r="C17" s="113">
        <f t="shared" ref="C17:O17" si="18">+C15*C8</f>
        <v>30750</v>
      </c>
      <c r="D17" s="113">
        <f t="shared" si="18"/>
        <v>55350</v>
      </c>
      <c r="E17" s="178">
        <f t="shared" si="18"/>
        <v>79950</v>
      </c>
      <c r="F17" s="177">
        <f t="shared" ref="F17:H17" si="19">+F15*F8</f>
        <v>0</v>
      </c>
      <c r="G17" s="113">
        <f t="shared" si="19"/>
        <v>0</v>
      </c>
      <c r="H17" s="178">
        <f t="shared" si="19"/>
        <v>0</v>
      </c>
      <c r="I17" s="177">
        <f t="shared" si="18"/>
        <v>3490</v>
      </c>
      <c r="J17" s="113">
        <f t="shared" si="18"/>
        <v>3490</v>
      </c>
      <c r="K17" s="113">
        <f t="shared" si="18"/>
        <v>3490</v>
      </c>
      <c r="L17" s="178">
        <f t="shared" si="18"/>
        <v>13500</v>
      </c>
      <c r="M17" s="177">
        <f t="shared" si="18"/>
        <v>0</v>
      </c>
      <c r="N17" s="113">
        <f t="shared" si="18"/>
        <v>0</v>
      </c>
      <c r="O17" s="178">
        <f t="shared" si="18"/>
        <v>0</v>
      </c>
    </row>
    <row r="18" spans="1:15" x14ac:dyDescent="0.25">
      <c r="A18" s="2" t="s">
        <v>249</v>
      </c>
      <c r="B18" s="179">
        <f t="shared" ref="B18:O18" si="20">IF(B5=0,0,CEILING((+B15+B11+B10+2)/0.9/5,1)*5)</f>
        <v>45</v>
      </c>
      <c r="C18" s="107">
        <f t="shared" si="20"/>
        <v>55</v>
      </c>
      <c r="D18" s="107">
        <f t="shared" si="20"/>
        <v>60</v>
      </c>
      <c r="E18" s="180">
        <f>IF(E5=0,0,CEILING((+E15+E11+E10+2)/0.9/5,1)*5)</f>
        <v>65</v>
      </c>
      <c r="F18" s="179">
        <f t="shared" ref="F18:G18" si="21">IF(F5=0,0,CEILING((+F15+F11+F10+2)/0.9/5,1)*5)</f>
        <v>55</v>
      </c>
      <c r="G18" s="107">
        <f t="shared" si="21"/>
        <v>60</v>
      </c>
      <c r="H18" s="180">
        <f>IF(H5=0,0,CEILING((+H15+H11+H10+2)/0.9/5,1)*5)</f>
        <v>65</v>
      </c>
      <c r="I18" s="179">
        <f t="shared" si="20"/>
        <v>0</v>
      </c>
      <c r="J18" s="107">
        <f t="shared" si="20"/>
        <v>0</v>
      </c>
      <c r="K18" s="107">
        <f t="shared" si="20"/>
        <v>0</v>
      </c>
      <c r="L18" s="185">
        <f t="shared" si="20"/>
        <v>0</v>
      </c>
      <c r="M18" s="179">
        <f t="shared" si="20"/>
        <v>0</v>
      </c>
      <c r="N18" s="107">
        <f t="shared" si="20"/>
        <v>0</v>
      </c>
      <c r="O18" s="185">
        <f t="shared" si="20"/>
        <v>0</v>
      </c>
    </row>
    <row r="19" spans="1:15" x14ac:dyDescent="0.25">
      <c r="A19" s="2" t="s">
        <v>248</v>
      </c>
      <c r="B19" s="181">
        <f t="shared" ref="B19:H19" si="22">MAX(B18:O18)</f>
        <v>65</v>
      </c>
      <c r="C19" s="182">
        <f t="shared" si="22"/>
        <v>65</v>
      </c>
      <c r="D19" s="182">
        <f t="shared" si="22"/>
        <v>65</v>
      </c>
      <c r="E19" s="180">
        <f t="shared" si="22"/>
        <v>65</v>
      </c>
      <c r="F19" s="181">
        <f t="shared" si="22"/>
        <v>65</v>
      </c>
      <c r="G19" s="182">
        <f t="shared" si="22"/>
        <v>65</v>
      </c>
      <c r="H19" s="180">
        <f t="shared" si="22"/>
        <v>65</v>
      </c>
      <c r="I19" s="181">
        <f t="shared" ref="I19:O19" si="23">MAX(I18:S18)</f>
        <v>0</v>
      </c>
      <c r="J19" s="182">
        <f t="shared" si="23"/>
        <v>0</v>
      </c>
      <c r="K19" s="182">
        <f t="shared" si="23"/>
        <v>0</v>
      </c>
      <c r="L19" s="180">
        <f t="shared" si="23"/>
        <v>0</v>
      </c>
      <c r="M19" s="181">
        <f t="shared" si="23"/>
        <v>0</v>
      </c>
      <c r="N19" s="182">
        <f t="shared" si="23"/>
        <v>0</v>
      </c>
      <c r="O19" s="180">
        <f t="shared" si="23"/>
        <v>0</v>
      </c>
    </row>
    <row r="20" spans="1:15" ht="30.75" customHeight="1" x14ac:dyDescent="0.25">
      <c r="A20" s="24" t="s">
        <v>432</v>
      </c>
      <c r="B20" s="183">
        <f>IF(B5=0,0,B8*B15)</f>
        <v>500</v>
      </c>
      <c r="C20" s="103">
        <f t="shared" ref="C20:O20" si="24">IF(C5=0,0,C8*C15)</f>
        <v>30750</v>
      </c>
      <c r="D20" s="103">
        <f t="shared" si="24"/>
        <v>55350</v>
      </c>
      <c r="E20" s="184">
        <f t="shared" si="24"/>
        <v>79950</v>
      </c>
      <c r="F20" s="183">
        <f t="shared" ref="F20:H20" si="25">IF(F5=0,0,F8*F15)</f>
        <v>0</v>
      </c>
      <c r="G20" s="103">
        <f t="shared" si="25"/>
        <v>0</v>
      </c>
      <c r="H20" s="184">
        <f t="shared" si="25"/>
        <v>0</v>
      </c>
      <c r="I20" s="183">
        <f t="shared" si="24"/>
        <v>0</v>
      </c>
      <c r="J20" s="103">
        <f t="shared" si="24"/>
        <v>0</v>
      </c>
      <c r="K20" s="103">
        <f t="shared" si="24"/>
        <v>0</v>
      </c>
      <c r="L20" s="184">
        <f t="shared" si="24"/>
        <v>0</v>
      </c>
      <c r="M20" s="183">
        <f t="shared" si="24"/>
        <v>0</v>
      </c>
      <c r="N20" s="103">
        <f t="shared" si="24"/>
        <v>0</v>
      </c>
      <c r="O20" s="184">
        <f t="shared" si="24"/>
        <v>0</v>
      </c>
    </row>
  </sheetData>
  <sheetProtection selectLockedCells="1"/>
  <mergeCells count="4">
    <mergeCell ref="B1:E1"/>
    <mergeCell ref="I1:L1"/>
    <mergeCell ref="M1:O1"/>
    <mergeCell ref="F1:H1"/>
  </mergeCells>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37"/>
  <sheetViews>
    <sheetView workbookViewId="0">
      <selection activeCell="B11" sqref="B11"/>
    </sheetView>
  </sheetViews>
  <sheetFormatPr defaultRowHeight="15" x14ac:dyDescent="0.25"/>
  <cols>
    <col min="1" max="1" width="55.28515625" bestFit="1" customWidth="1"/>
    <col min="2" max="2" width="11.5703125" bestFit="1" customWidth="1"/>
    <col min="4" max="4" width="3" bestFit="1" customWidth="1"/>
    <col min="5" max="5" width="3.7109375" bestFit="1" customWidth="1"/>
    <col min="6" max="6" width="3.28515625" bestFit="1" customWidth="1"/>
    <col min="8" max="8" width="9.7109375" bestFit="1" customWidth="1"/>
    <col min="10" max="10" width="5" bestFit="1" customWidth="1"/>
    <col min="11" max="11" width="10.5703125" bestFit="1" customWidth="1"/>
    <col min="12" max="12" width="5" bestFit="1" customWidth="1"/>
  </cols>
  <sheetData>
    <row r="1" spans="1:7" ht="21" x14ac:dyDescent="0.35">
      <c r="A1" s="156" t="s">
        <v>776</v>
      </c>
    </row>
    <row r="2" spans="1:7" x14ac:dyDescent="0.25">
      <c r="A2" s="2" t="s">
        <v>762</v>
      </c>
      <c r="B2" s="191">
        <v>65</v>
      </c>
      <c r="C2" t="s">
        <v>757</v>
      </c>
    </row>
    <row r="3" spans="1:7" x14ac:dyDescent="0.25">
      <c r="A3" s="2" t="s">
        <v>1</v>
      </c>
      <c r="B3" s="192" t="s">
        <v>785</v>
      </c>
      <c r="C3" s="155" t="str">
        <f ca="1">IF(ISERR(DGET(INDIRECT($B$4),A6,$A$36:$B$37)),"No pole found for this Hgt/Class!","")</f>
        <v/>
      </c>
    </row>
    <row r="4" spans="1:7" x14ac:dyDescent="0.25">
      <c r="A4" s="2" t="s">
        <v>766</v>
      </c>
      <c r="B4" s="116" t="s">
        <v>759</v>
      </c>
      <c r="C4" s="27" t="s">
        <v>784</v>
      </c>
      <c r="G4" s="3"/>
    </row>
    <row r="5" spans="1:7" x14ac:dyDescent="0.25">
      <c r="A5" s="2" t="s">
        <v>764</v>
      </c>
      <c r="B5">
        <f ca="1">DGET(INDIRECT($B$4),A5,$A$36:$B$37)</f>
        <v>8.6999999999999993</v>
      </c>
      <c r="C5" t="s">
        <v>758</v>
      </c>
    </row>
    <row r="6" spans="1:7" x14ac:dyDescent="0.25">
      <c r="A6" s="2" t="s">
        <v>763</v>
      </c>
      <c r="B6">
        <f ca="1">DGET(INDIRECT($B$4),A6,$A$36:$B$37)</f>
        <v>19.600000000000001</v>
      </c>
      <c r="C6" t="s">
        <v>758</v>
      </c>
    </row>
    <row r="7" spans="1:7" x14ac:dyDescent="0.25">
      <c r="A7" s="2" t="s">
        <v>765</v>
      </c>
      <c r="B7">
        <f ca="1">DGET(INDIRECT($B$4),A7,$A$36:$B$37)</f>
        <v>0.22</v>
      </c>
      <c r="C7" t="s">
        <v>758</v>
      </c>
    </row>
    <row r="8" spans="1:7" x14ac:dyDescent="0.25">
      <c r="A8" s="24" t="s">
        <v>747</v>
      </c>
      <c r="B8" s="2" t="str">
        <f ca="1">DGET(INDIRECT($B$4),A8,$A$36:$B$37)</f>
        <v>Round</v>
      </c>
    </row>
    <row r="9" spans="1:7" x14ac:dyDescent="0.25">
      <c r="A9" s="24" t="s">
        <v>287</v>
      </c>
      <c r="B9" s="117">
        <v>1.5</v>
      </c>
      <c r="C9" t="s">
        <v>768</v>
      </c>
    </row>
    <row r="10" spans="1:7" x14ac:dyDescent="0.25">
      <c r="A10" s="24"/>
    </row>
    <row r="11" spans="1:7" ht="21" x14ac:dyDescent="0.35">
      <c r="A11" s="2" t="s">
        <v>773</v>
      </c>
      <c r="B11" s="162">
        <f ca="1">(W*(L*12)^3/(2*E*CC*t*(RB-RA)^3))*(2*LN(RB/RA)-((RB-RA)/RB)*(3-RB/RA))</f>
        <v>9.5132207243470894</v>
      </c>
      <c r="C11" t="s">
        <v>758</v>
      </c>
    </row>
    <row r="12" spans="1:7" x14ac:dyDescent="0.25">
      <c r="A12" s="158"/>
      <c r="B12" s="1"/>
    </row>
    <row r="13" spans="1:7" x14ac:dyDescent="0.25">
      <c r="A13" s="158"/>
      <c r="B13" s="1"/>
    </row>
    <row r="14" spans="1:7" x14ac:dyDescent="0.25">
      <c r="A14" s="158"/>
      <c r="B14" s="1"/>
    </row>
    <row r="15" spans="1:7" x14ac:dyDescent="0.25">
      <c r="A15" s="158"/>
      <c r="B15" s="1"/>
    </row>
    <row r="16" spans="1:7" x14ac:dyDescent="0.25">
      <c r="A16" s="158"/>
      <c r="B16" s="1"/>
    </row>
    <row r="17" spans="1:3" x14ac:dyDescent="0.25">
      <c r="A17" s="158"/>
      <c r="B17" s="1"/>
    </row>
    <row r="18" spans="1:3" x14ac:dyDescent="0.25">
      <c r="A18" s="158"/>
      <c r="B18" s="1"/>
    </row>
    <row r="19" spans="1:3" x14ac:dyDescent="0.25">
      <c r="A19" s="158"/>
      <c r="B19" s="1"/>
    </row>
    <row r="20" spans="1:3" x14ac:dyDescent="0.25">
      <c r="A20" s="158"/>
      <c r="B20" s="1"/>
    </row>
    <row r="21" spans="1:3" x14ac:dyDescent="0.25">
      <c r="A21" s="158"/>
      <c r="B21" s="1"/>
    </row>
    <row r="22" spans="1:3" x14ac:dyDescent="0.25">
      <c r="A22" s="157" t="s">
        <v>782</v>
      </c>
      <c r="B22" s="1"/>
    </row>
    <row r="23" spans="1:3" x14ac:dyDescent="0.25">
      <c r="A23" s="157"/>
      <c r="B23" s="1"/>
    </row>
    <row r="24" spans="1:3" x14ac:dyDescent="0.25">
      <c r="A24" t="s">
        <v>781</v>
      </c>
      <c r="B24" t="s">
        <v>371</v>
      </c>
    </row>
    <row r="25" spans="1:3" x14ac:dyDescent="0.25">
      <c r="A25" t="s">
        <v>787</v>
      </c>
      <c r="B25" s="1">
        <f ca="1">LOOKUP(B8,{"12 Sided",3.5;"Round",3.14})</f>
        <v>3.14</v>
      </c>
      <c r="C25" s="14"/>
    </row>
    <row r="26" spans="1:3" x14ac:dyDescent="0.25">
      <c r="A26" t="s">
        <v>754</v>
      </c>
      <c r="B26" s="140">
        <f>VLOOKUP(B4,$A$33:$B$35,2)</f>
        <v>13400000</v>
      </c>
    </row>
    <row r="27" spans="1:3" x14ac:dyDescent="0.25">
      <c r="A27" t="s">
        <v>772</v>
      </c>
      <c r="B27">
        <f>B2*0.9-2</f>
        <v>56.5</v>
      </c>
      <c r="C27" t="s">
        <v>757</v>
      </c>
    </row>
    <row r="28" spans="1:3" ht="18" x14ac:dyDescent="0.35">
      <c r="A28" s="3" t="s">
        <v>774</v>
      </c>
      <c r="B28">
        <f ca="1">B5-B7/2</f>
        <v>8.59</v>
      </c>
      <c r="C28" t="s">
        <v>758</v>
      </c>
    </row>
    <row r="29" spans="1:3" ht="18" x14ac:dyDescent="0.35">
      <c r="A29" s="3" t="s">
        <v>775</v>
      </c>
      <c r="B29" s="1">
        <f ca="1">B6-((B6-B5)/B2*(B2-B27))-B7/2</f>
        <v>18.064615384615387</v>
      </c>
      <c r="C29" t="s">
        <v>758</v>
      </c>
    </row>
    <row r="30" spans="1:3" x14ac:dyDescent="0.25">
      <c r="A30" t="s">
        <v>755</v>
      </c>
      <c r="B30">
        <f ca="1">+B7</f>
        <v>0.22</v>
      </c>
      <c r="C30" t="s">
        <v>758</v>
      </c>
    </row>
    <row r="31" spans="1:3" x14ac:dyDescent="0.25">
      <c r="A31" t="s">
        <v>756</v>
      </c>
      <c r="B31" s="13">
        <f>(SUM(Construction!$B$8:$O$8)*(B2*0.9-2)-SUM(Construction!$B$17:$O$17))*SIN(B9/2*PI()/180)*'Pole &amp; Guy Loading'!F6/B27</f>
        <v>472.94857578009481</v>
      </c>
      <c r="C31" t="s">
        <v>771</v>
      </c>
    </row>
    <row r="33" spans="1:8" x14ac:dyDescent="0.25">
      <c r="A33" s="160" t="s">
        <v>759</v>
      </c>
      <c r="B33" s="159">
        <v>13400000</v>
      </c>
      <c r="D33" s="14"/>
      <c r="E33" s="14"/>
      <c r="F33" s="14"/>
      <c r="G33" s="14"/>
      <c r="H33" s="14"/>
    </row>
    <row r="34" spans="1:8" x14ac:dyDescent="0.25">
      <c r="A34" s="160" t="s">
        <v>760</v>
      </c>
      <c r="B34" s="159">
        <v>29000000</v>
      </c>
    </row>
    <row r="35" spans="1:8" x14ac:dyDescent="0.25">
      <c r="A35" s="160" t="s">
        <v>761</v>
      </c>
      <c r="B35" s="159">
        <v>29000000</v>
      </c>
      <c r="D35" s="14"/>
      <c r="E35" s="14"/>
      <c r="F35" s="14"/>
      <c r="G35" s="14"/>
      <c r="H35" s="14"/>
    </row>
    <row r="36" spans="1:8" x14ac:dyDescent="0.25">
      <c r="A36" s="160" t="str">
        <f>A2</f>
        <v>Pole Hgt</v>
      </c>
      <c r="B36" s="160" t="str">
        <f>A3</f>
        <v>Class</v>
      </c>
    </row>
    <row r="37" spans="1:8" x14ac:dyDescent="0.25">
      <c r="A37" s="159">
        <f>B2</f>
        <v>65</v>
      </c>
      <c r="B37" s="159" t="str">
        <f>B3</f>
        <v>h1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22"/>
  <sheetViews>
    <sheetView workbookViewId="0">
      <selection activeCell="AA3" sqref="AA3:AK3"/>
    </sheetView>
  </sheetViews>
  <sheetFormatPr defaultRowHeight="15" x14ac:dyDescent="0.25"/>
  <cols>
    <col min="1" max="1" width="14.140625" bestFit="1" customWidth="1"/>
    <col min="2" max="2" width="5" bestFit="1" customWidth="1"/>
    <col min="3" max="8" width="9" bestFit="1" customWidth="1"/>
    <col min="9" max="12" width="8" bestFit="1" customWidth="1"/>
    <col min="13" max="13" width="7" bestFit="1" customWidth="1"/>
    <col min="15" max="15" width="5.5703125" bestFit="1" customWidth="1"/>
    <col min="16" max="16" width="5.85546875" customWidth="1"/>
    <col min="17" max="17" width="5.7109375" customWidth="1"/>
    <col min="18" max="19" width="5.5703125" bestFit="1" customWidth="1"/>
    <col min="20" max="20" width="6.5703125" bestFit="1" customWidth="1"/>
    <col min="21" max="25" width="5.5703125" bestFit="1" customWidth="1"/>
    <col min="27" max="28" width="6.5703125" bestFit="1" customWidth="1"/>
    <col min="29" max="37" width="5.5703125" bestFit="1" customWidth="1"/>
  </cols>
  <sheetData>
    <row r="1" spans="1:37" x14ac:dyDescent="0.25">
      <c r="A1" s="214" t="s">
        <v>0</v>
      </c>
      <c r="B1" s="214"/>
      <c r="C1" s="214"/>
      <c r="D1" s="214"/>
      <c r="E1" s="214"/>
      <c r="F1" s="214"/>
      <c r="G1" s="214"/>
      <c r="H1" s="214"/>
      <c r="I1" s="214"/>
      <c r="J1" s="214"/>
      <c r="K1" s="214"/>
      <c r="L1" s="214"/>
      <c r="M1" s="214"/>
    </row>
    <row r="2" spans="1:37" x14ac:dyDescent="0.25">
      <c r="A2" t="s">
        <v>1</v>
      </c>
      <c r="C2" s="2" t="s">
        <v>296</v>
      </c>
      <c r="D2" s="2" t="s">
        <v>297</v>
      </c>
      <c r="E2">
        <v>1</v>
      </c>
      <c r="F2">
        <v>2</v>
      </c>
      <c r="G2">
        <v>3</v>
      </c>
      <c r="H2">
        <v>4</v>
      </c>
      <c r="I2">
        <v>5</v>
      </c>
      <c r="J2">
        <v>6</v>
      </c>
      <c r="K2">
        <v>7</v>
      </c>
      <c r="L2">
        <v>9</v>
      </c>
      <c r="M2">
        <v>10</v>
      </c>
      <c r="O2" t="str">
        <f>+C2</f>
        <v>H2</v>
      </c>
      <c r="P2" t="str">
        <f t="shared" ref="P2:Y2" si="0">+D2</f>
        <v>H1</v>
      </c>
      <c r="Q2">
        <f t="shared" si="0"/>
        <v>1</v>
      </c>
      <c r="R2">
        <f t="shared" si="0"/>
        <v>2</v>
      </c>
      <c r="S2">
        <f t="shared" si="0"/>
        <v>3</v>
      </c>
      <c r="T2">
        <f t="shared" si="0"/>
        <v>4</v>
      </c>
      <c r="U2">
        <f t="shared" si="0"/>
        <v>5</v>
      </c>
      <c r="V2">
        <f t="shared" si="0"/>
        <v>6</v>
      </c>
      <c r="W2">
        <f t="shared" si="0"/>
        <v>7</v>
      </c>
      <c r="X2">
        <f t="shared" si="0"/>
        <v>9</v>
      </c>
      <c r="Y2">
        <f t="shared" si="0"/>
        <v>10</v>
      </c>
      <c r="AA2" t="str">
        <f>+O2</f>
        <v>H2</v>
      </c>
      <c r="AB2" t="str">
        <f t="shared" ref="AB2" si="1">+P2</f>
        <v>H1</v>
      </c>
      <c r="AC2">
        <f t="shared" ref="AC2" si="2">+Q2</f>
        <v>1</v>
      </c>
      <c r="AD2">
        <f t="shared" ref="AD2" si="3">+R2</f>
        <v>2</v>
      </c>
      <c r="AE2">
        <f t="shared" ref="AE2" si="4">+S2</f>
        <v>3</v>
      </c>
      <c r="AF2">
        <f t="shared" ref="AF2" si="5">+T2</f>
        <v>4</v>
      </c>
      <c r="AG2">
        <f t="shared" ref="AG2" si="6">+U2</f>
        <v>5</v>
      </c>
      <c r="AH2">
        <f t="shared" ref="AH2" si="7">+V2</f>
        <v>6</v>
      </c>
      <c r="AI2">
        <f t="shared" ref="AI2" si="8">+W2</f>
        <v>7</v>
      </c>
      <c r="AJ2">
        <f t="shared" ref="AJ2" si="9">+X2</f>
        <v>9</v>
      </c>
      <c r="AK2">
        <f t="shared" ref="AK2" si="10">+Y2</f>
        <v>10</v>
      </c>
    </row>
    <row r="3" spans="1:37" ht="45" x14ac:dyDescent="0.25">
      <c r="A3" s="3" t="s">
        <v>3</v>
      </c>
      <c r="C3">
        <v>31</v>
      </c>
      <c r="D3">
        <v>29</v>
      </c>
      <c r="E3">
        <v>27</v>
      </c>
      <c r="F3">
        <v>25</v>
      </c>
      <c r="G3">
        <v>23</v>
      </c>
      <c r="H3">
        <v>21</v>
      </c>
      <c r="I3">
        <v>19</v>
      </c>
      <c r="J3">
        <v>17</v>
      </c>
      <c r="K3">
        <v>15</v>
      </c>
      <c r="L3">
        <v>15</v>
      </c>
      <c r="M3">
        <v>12</v>
      </c>
      <c r="AA3" s="199">
        <f>+C3/PI()/2</f>
        <v>4.9338032358487558</v>
      </c>
      <c r="AB3" s="199">
        <f t="shared" ref="AB3:AK3" si="11">+D3/PI()/2</f>
        <v>4.6154933496649653</v>
      </c>
      <c r="AC3" s="199">
        <f t="shared" si="11"/>
        <v>4.2971834634811739</v>
      </c>
      <c r="AD3" s="199">
        <f t="shared" si="11"/>
        <v>3.9788735772973833</v>
      </c>
      <c r="AE3" s="199">
        <f t="shared" si="11"/>
        <v>3.6605636911135928</v>
      </c>
      <c r="AF3" s="199">
        <f t="shared" si="11"/>
        <v>3.3422538049298023</v>
      </c>
      <c r="AG3" s="199">
        <f t="shared" si="11"/>
        <v>3.0239439187460113</v>
      </c>
      <c r="AH3" s="199">
        <f t="shared" si="11"/>
        <v>2.7056340325622208</v>
      </c>
      <c r="AI3" s="199">
        <f t="shared" si="11"/>
        <v>2.3873241463784303</v>
      </c>
      <c r="AJ3" s="199">
        <f t="shared" si="11"/>
        <v>2.3873241463784303</v>
      </c>
      <c r="AK3" s="199">
        <f t="shared" si="11"/>
        <v>1.909859317102744</v>
      </c>
    </row>
    <row r="4" spans="1:37" x14ac:dyDescent="0.25">
      <c r="A4" s="3"/>
      <c r="C4" s="214" t="s">
        <v>293</v>
      </c>
      <c r="D4" s="214"/>
      <c r="E4" s="214"/>
      <c r="F4" s="214"/>
      <c r="G4" s="214"/>
      <c r="H4" s="214"/>
      <c r="I4" s="214"/>
      <c r="J4" s="214"/>
      <c r="K4" s="214"/>
      <c r="L4" s="214"/>
      <c r="M4" s="214"/>
      <c r="O4" s="197" t="s">
        <v>795</v>
      </c>
      <c r="P4" s="197"/>
      <c r="Q4" s="197"/>
      <c r="R4" s="197"/>
      <c r="S4" s="197"/>
      <c r="T4" s="197"/>
      <c r="U4" s="197"/>
      <c r="V4" s="197"/>
      <c r="W4" s="197"/>
      <c r="X4" s="197"/>
      <c r="Y4" s="197"/>
      <c r="AA4" s="200" t="s">
        <v>796</v>
      </c>
      <c r="AB4" s="200"/>
      <c r="AC4" s="200"/>
      <c r="AD4" s="200"/>
      <c r="AE4" s="200"/>
      <c r="AF4" s="200"/>
      <c r="AG4" s="200"/>
      <c r="AH4" s="200"/>
      <c r="AI4" s="200"/>
      <c r="AJ4" s="200"/>
      <c r="AK4" s="200"/>
    </row>
    <row r="5" spans="1:37" x14ac:dyDescent="0.25">
      <c r="A5">
        <v>20</v>
      </c>
      <c r="B5">
        <v>4</v>
      </c>
      <c r="C5" t="e">
        <f>(NA())</f>
        <v>#N/A</v>
      </c>
      <c r="D5" t="e">
        <f>(NA())</f>
        <v>#N/A</v>
      </c>
      <c r="E5">
        <v>31</v>
      </c>
      <c r="F5">
        <v>29</v>
      </c>
      <c r="G5">
        <v>27</v>
      </c>
      <c r="H5">
        <v>25</v>
      </c>
      <c r="I5">
        <v>23</v>
      </c>
      <c r="J5">
        <v>21</v>
      </c>
      <c r="K5">
        <v>19.5</v>
      </c>
      <c r="L5">
        <v>17.5</v>
      </c>
      <c r="M5">
        <v>14</v>
      </c>
      <c r="O5" t="e">
        <f>(+C5-C3)/($A$5-6)*$A$5+C3</f>
        <v>#N/A</v>
      </c>
      <c r="P5" t="e">
        <f t="shared" ref="P5:Y5" si="12">(+D5-D3)/($A$5-6)*$A$5+D3</f>
        <v>#N/A</v>
      </c>
      <c r="Q5">
        <f t="shared" si="12"/>
        <v>32.714285714285715</v>
      </c>
      <c r="R5">
        <f t="shared" si="12"/>
        <v>30.714285714285715</v>
      </c>
      <c r="S5">
        <f t="shared" si="12"/>
        <v>28.714285714285715</v>
      </c>
      <c r="T5">
        <f t="shared" si="12"/>
        <v>26.714285714285715</v>
      </c>
      <c r="U5">
        <f t="shared" si="12"/>
        <v>24.714285714285715</v>
      </c>
      <c r="V5">
        <f t="shared" si="12"/>
        <v>22.714285714285715</v>
      </c>
      <c r="W5">
        <f t="shared" si="12"/>
        <v>21.428571428571431</v>
      </c>
      <c r="X5">
        <f t="shared" si="12"/>
        <v>18.571428571428573</v>
      </c>
      <c r="Y5">
        <f t="shared" si="12"/>
        <v>14.857142857142858</v>
      </c>
      <c r="Z5">
        <f>+A5*12</f>
        <v>240</v>
      </c>
      <c r="AA5" s="199" t="e">
        <f>+O5/PI()/2</f>
        <v>#N/A</v>
      </c>
      <c r="AB5" s="199" t="e">
        <f t="shared" ref="AB5:AG20" si="13">+P5/PI()/2</f>
        <v>#N/A</v>
      </c>
      <c r="AC5" s="199">
        <f t="shared" si="13"/>
        <v>5.2066402811491477</v>
      </c>
      <c r="AD5" s="199">
        <f t="shared" si="13"/>
        <v>4.8883303949653572</v>
      </c>
      <c r="AE5" s="199">
        <f t="shared" si="13"/>
        <v>4.5700205087815666</v>
      </c>
      <c r="AF5" s="199">
        <f t="shared" si="13"/>
        <v>4.2517106225977761</v>
      </c>
      <c r="AG5" s="199">
        <f t="shared" si="13"/>
        <v>3.9334007364139851</v>
      </c>
      <c r="AH5" s="199">
        <f t="shared" ref="AH5:AH22" si="14">+V5/PI()/2</f>
        <v>3.6150908502301942</v>
      </c>
      <c r="AI5" s="199">
        <f t="shared" ref="AI5:AI22" si="15">+W5/PI()/2</f>
        <v>3.4104630662549007</v>
      </c>
      <c r="AJ5" s="199">
        <f t="shared" ref="AJ5:AJ22" si="16">+X5/PI()/2</f>
        <v>2.9557346574209138</v>
      </c>
      <c r="AK5" s="199">
        <f t="shared" ref="AK5:AK22" si="17">+Y5/PI()/2</f>
        <v>2.3645877259367309</v>
      </c>
    </row>
    <row r="6" spans="1:37" x14ac:dyDescent="0.25">
      <c r="A6">
        <v>25</v>
      </c>
      <c r="B6">
        <v>5</v>
      </c>
      <c r="C6" t="e">
        <f>(NA())</f>
        <v>#N/A</v>
      </c>
      <c r="D6" t="e">
        <f>(NA())</f>
        <v>#N/A</v>
      </c>
      <c r="E6">
        <v>33.5</v>
      </c>
      <c r="F6">
        <v>31.5</v>
      </c>
      <c r="G6">
        <v>29.5</v>
      </c>
      <c r="H6">
        <v>27.5</v>
      </c>
      <c r="I6">
        <v>25.5</v>
      </c>
      <c r="J6">
        <v>23</v>
      </c>
      <c r="K6">
        <v>21.5</v>
      </c>
      <c r="L6">
        <v>19.5</v>
      </c>
      <c r="M6">
        <v>15</v>
      </c>
      <c r="O6" t="e">
        <f>(+C6-C3)/($A$6-6)*$A$6+C3</f>
        <v>#N/A</v>
      </c>
      <c r="P6" t="e">
        <f t="shared" ref="P6:Y6" si="18">(+D6-D3)/($A$6-6)*$A$6+D3</f>
        <v>#N/A</v>
      </c>
      <c r="Q6">
        <f t="shared" si="18"/>
        <v>35.55263157894737</v>
      </c>
      <c r="R6">
        <f t="shared" si="18"/>
        <v>33.55263157894737</v>
      </c>
      <c r="S6">
        <f t="shared" si="18"/>
        <v>31.55263157894737</v>
      </c>
      <c r="T6">
        <f t="shared" si="18"/>
        <v>29.55263157894737</v>
      </c>
      <c r="U6">
        <f t="shared" si="18"/>
        <v>27.55263157894737</v>
      </c>
      <c r="V6">
        <f t="shared" si="18"/>
        <v>24.894736842105264</v>
      </c>
      <c r="W6">
        <f t="shared" si="18"/>
        <v>23.55263157894737</v>
      </c>
      <c r="X6">
        <f t="shared" si="18"/>
        <v>20.921052631578945</v>
      </c>
      <c r="Y6">
        <f t="shared" si="18"/>
        <v>15.947368421052632</v>
      </c>
      <c r="Z6">
        <f t="shared" ref="Z6:Z22" si="19">+A6*12</f>
        <v>300</v>
      </c>
      <c r="AA6" s="199" t="e">
        <f t="shared" ref="AA6:AA22" si="20">+O6/PI()/2</f>
        <v>#N/A</v>
      </c>
      <c r="AB6" s="199" t="e">
        <f t="shared" si="13"/>
        <v>#N/A</v>
      </c>
      <c r="AC6" s="199">
        <f t="shared" si="13"/>
        <v>5.6583770557144897</v>
      </c>
      <c r="AD6" s="199">
        <f t="shared" si="13"/>
        <v>5.3400671695306992</v>
      </c>
      <c r="AE6" s="199">
        <f t="shared" si="13"/>
        <v>5.0217572833469086</v>
      </c>
      <c r="AF6" s="199">
        <f t="shared" si="13"/>
        <v>4.7034473971631181</v>
      </c>
      <c r="AG6" s="199">
        <f t="shared" si="13"/>
        <v>4.3851375109793276</v>
      </c>
      <c r="AH6" s="199">
        <f t="shared" si="14"/>
        <v>3.9621204253929738</v>
      </c>
      <c r="AI6" s="199">
        <f t="shared" si="15"/>
        <v>3.7485177386117456</v>
      </c>
      <c r="AJ6" s="199">
        <f t="shared" si="16"/>
        <v>3.3296889410014945</v>
      </c>
      <c r="AK6" s="199">
        <f t="shared" si="17"/>
        <v>2.5381025135181203</v>
      </c>
    </row>
    <row r="7" spans="1:37" x14ac:dyDescent="0.25">
      <c r="A7">
        <v>30</v>
      </c>
      <c r="B7">
        <v>5.5</v>
      </c>
      <c r="C7" t="e">
        <f>(NA())</f>
        <v>#N/A</v>
      </c>
      <c r="D7" t="e">
        <f>(NA())</f>
        <v>#N/A</v>
      </c>
      <c r="E7">
        <v>36.5</v>
      </c>
      <c r="F7">
        <v>34</v>
      </c>
      <c r="G7">
        <v>32</v>
      </c>
      <c r="H7">
        <v>29.5</v>
      </c>
      <c r="I7">
        <v>27.5</v>
      </c>
      <c r="J7">
        <v>25</v>
      </c>
      <c r="K7">
        <v>23.5</v>
      </c>
      <c r="L7">
        <v>20.5</v>
      </c>
      <c r="M7" t="e">
        <f>(NA())</f>
        <v>#N/A</v>
      </c>
      <c r="O7" t="e">
        <f>(+C7-C3)/($A$7-6)*$A$7+C3</f>
        <v>#N/A</v>
      </c>
      <c r="P7" t="e">
        <f t="shared" ref="P7:Y7" si="21">(+D7-D3)/($A$7-6)*$A$7+D3</f>
        <v>#N/A</v>
      </c>
      <c r="Q7">
        <f t="shared" si="21"/>
        <v>38.875</v>
      </c>
      <c r="R7">
        <f t="shared" si="21"/>
        <v>36.25</v>
      </c>
      <c r="S7">
        <f t="shared" si="21"/>
        <v>34.25</v>
      </c>
      <c r="T7">
        <f t="shared" si="21"/>
        <v>31.625</v>
      </c>
      <c r="U7">
        <f t="shared" si="21"/>
        <v>29.625</v>
      </c>
      <c r="V7">
        <f t="shared" si="21"/>
        <v>27</v>
      </c>
      <c r="W7">
        <f t="shared" si="21"/>
        <v>25.625</v>
      </c>
      <c r="X7">
        <f t="shared" si="21"/>
        <v>21.875</v>
      </c>
      <c r="Y7" t="e">
        <f t="shared" si="21"/>
        <v>#N/A</v>
      </c>
      <c r="Z7">
        <f t="shared" si="19"/>
        <v>360</v>
      </c>
      <c r="AA7" s="199" t="e">
        <f t="shared" si="20"/>
        <v>#N/A</v>
      </c>
      <c r="AB7" s="199" t="e">
        <f t="shared" si="13"/>
        <v>#N/A</v>
      </c>
      <c r="AC7" s="199">
        <f t="shared" si="13"/>
        <v>6.1871484126974314</v>
      </c>
      <c r="AD7" s="199">
        <f t="shared" si="13"/>
        <v>5.7693666870812059</v>
      </c>
      <c r="AE7" s="199">
        <f t="shared" si="13"/>
        <v>5.4510568008974154</v>
      </c>
      <c r="AF7" s="199">
        <f t="shared" si="13"/>
        <v>5.0332750752811899</v>
      </c>
      <c r="AG7" s="199">
        <f t="shared" si="13"/>
        <v>4.7149651890973994</v>
      </c>
      <c r="AH7" s="199">
        <f t="shared" si="14"/>
        <v>4.2971834634811739</v>
      </c>
      <c r="AI7" s="199">
        <f t="shared" si="15"/>
        <v>4.0783454167298183</v>
      </c>
      <c r="AJ7" s="199">
        <f t="shared" si="16"/>
        <v>3.4815143801352106</v>
      </c>
      <c r="AK7" s="199" t="e">
        <f t="shared" si="17"/>
        <v>#N/A</v>
      </c>
    </row>
    <row r="8" spans="1:37" x14ac:dyDescent="0.25">
      <c r="A8">
        <v>35</v>
      </c>
      <c r="B8">
        <v>6</v>
      </c>
      <c r="C8" t="e">
        <f>(NA())</f>
        <v>#N/A</v>
      </c>
      <c r="D8" t="e">
        <f>(NA())</f>
        <v>#N/A</v>
      </c>
      <c r="E8">
        <v>39</v>
      </c>
      <c r="F8">
        <v>36.5</v>
      </c>
      <c r="G8">
        <v>34</v>
      </c>
      <c r="H8">
        <v>31.5</v>
      </c>
      <c r="I8">
        <v>29</v>
      </c>
      <c r="J8">
        <v>27</v>
      </c>
      <c r="K8">
        <v>25</v>
      </c>
      <c r="L8" t="e">
        <f>(NA())</f>
        <v>#N/A</v>
      </c>
      <c r="M8" t="e">
        <f>(NA())</f>
        <v>#N/A</v>
      </c>
      <c r="O8" t="e">
        <f>(+C8-C3)/($A$8-6)*$A$8+C3</f>
        <v>#N/A</v>
      </c>
      <c r="P8" t="e">
        <f t="shared" ref="P8:Y8" si="22">(+D8-D3)/($A$8-6)*$A$8+D3</f>
        <v>#N/A</v>
      </c>
      <c r="Q8">
        <f t="shared" si="22"/>
        <v>41.482758620689651</v>
      </c>
      <c r="R8">
        <f t="shared" si="22"/>
        <v>38.879310344827587</v>
      </c>
      <c r="S8">
        <f t="shared" si="22"/>
        <v>36.275862068965516</v>
      </c>
      <c r="T8">
        <f t="shared" si="22"/>
        <v>33.672413793103445</v>
      </c>
      <c r="U8">
        <f t="shared" si="22"/>
        <v>31.068965517241381</v>
      </c>
      <c r="V8">
        <f t="shared" si="22"/>
        <v>29.068965517241381</v>
      </c>
      <c r="W8">
        <f t="shared" si="22"/>
        <v>27.068965517241381</v>
      </c>
      <c r="X8" t="e">
        <f t="shared" si="22"/>
        <v>#N/A</v>
      </c>
      <c r="Y8" t="e">
        <f t="shared" si="22"/>
        <v>#N/A</v>
      </c>
      <c r="Z8">
        <f t="shared" si="19"/>
        <v>420</v>
      </c>
      <c r="AA8" s="199" t="e">
        <f t="shared" si="20"/>
        <v>#N/A</v>
      </c>
      <c r="AB8" s="199" t="e">
        <f t="shared" si="13"/>
        <v>#N/A</v>
      </c>
      <c r="AC8" s="199">
        <f t="shared" si="13"/>
        <v>6.6021860875706926</v>
      </c>
      <c r="AD8" s="199">
        <f t="shared" si="13"/>
        <v>6.1878344253831727</v>
      </c>
      <c r="AE8" s="199">
        <f t="shared" si="13"/>
        <v>5.7734827631956511</v>
      </c>
      <c r="AF8" s="199">
        <f t="shared" si="13"/>
        <v>5.3591311010081304</v>
      </c>
      <c r="AG8" s="199">
        <f t="shared" si="13"/>
        <v>4.9447794388206106</v>
      </c>
      <c r="AH8" s="199">
        <f t="shared" si="14"/>
        <v>4.62646955263682</v>
      </c>
      <c r="AI8" s="199">
        <f t="shared" si="15"/>
        <v>4.3081596664530295</v>
      </c>
      <c r="AJ8" s="199" t="e">
        <f t="shared" si="16"/>
        <v>#N/A</v>
      </c>
      <c r="AK8" s="199" t="e">
        <f t="shared" si="17"/>
        <v>#N/A</v>
      </c>
    </row>
    <row r="9" spans="1:37" x14ac:dyDescent="0.25">
      <c r="A9">
        <v>40</v>
      </c>
      <c r="B9">
        <v>6</v>
      </c>
      <c r="C9" t="e">
        <f>(NA())</f>
        <v>#N/A</v>
      </c>
      <c r="D9" t="e">
        <f>(NA())</f>
        <v>#N/A</v>
      </c>
      <c r="E9">
        <v>41</v>
      </c>
      <c r="F9">
        <v>38.5</v>
      </c>
      <c r="G9">
        <v>36</v>
      </c>
      <c r="H9">
        <v>33.5</v>
      </c>
      <c r="I9">
        <v>31</v>
      </c>
      <c r="J9">
        <v>28.5</v>
      </c>
      <c r="K9" t="e">
        <f>(NA())</f>
        <v>#N/A</v>
      </c>
      <c r="L9" t="e">
        <f>(NA())</f>
        <v>#N/A</v>
      </c>
      <c r="M9" t="e">
        <f>(NA())</f>
        <v>#N/A</v>
      </c>
      <c r="O9" t="e">
        <f>(+C9-C3)/($A$9-6)*$A$9+C3</f>
        <v>#N/A</v>
      </c>
      <c r="P9" t="e">
        <f t="shared" ref="P9:Y9" si="23">(+D9-D3)/($A$9-6)*$A$9+D3</f>
        <v>#N/A</v>
      </c>
      <c r="Q9">
        <f t="shared" si="23"/>
        <v>43.470588235294116</v>
      </c>
      <c r="R9">
        <f t="shared" si="23"/>
        <v>40.882352941176471</v>
      </c>
      <c r="S9">
        <f t="shared" si="23"/>
        <v>38.294117647058826</v>
      </c>
      <c r="T9">
        <f t="shared" si="23"/>
        <v>35.705882352941174</v>
      </c>
      <c r="U9">
        <f t="shared" si="23"/>
        <v>33.117647058823529</v>
      </c>
      <c r="V9">
        <f t="shared" si="23"/>
        <v>30.529411764705884</v>
      </c>
      <c r="W9" t="e">
        <f t="shared" si="23"/>
        <v>#N/A</v>
      </c>
      <c r="X9" t="e">
        <f t="shared" si="23"/>
        <v>#N/A</v>
      </c>
      <c r="Y9" t="e">
        <f t="shared" si="23"/>
        <v>#N/A</v>
      </c>
      <c r="Z9">
        <f t="shared" si="19"/>
        <v>480</v>
      </c>
      <c r="AA9" s="199" t="e">
        <f t="shared" si="20"/>
        <v>#N/A</v>
      </c>
      <c r="AB9" s="199" t="e">
        <f t="shared" si="13"/>
        <v>#N/A</v>
      </c>
      <c r="AC9" s="199">
        <f t="shared" si="13"/>
        <v>6.9185589967594501</v>
      </c>
      <c r="AD9" s="199">
        <f t="shared" si="13"/>
        <v>6.5066285558157215</v>
      </c>
      <c r="AE9" s="199">
        <f t="shared" si="13"/>
        <v>6.094698114871993</v>
      </c>
      <c r="AF9" s="199">
        <f t="shared" si="13"/>
        <v>5.6827676739282627</v>
      </c>
      <c r="AG9" s="199">
        <f t="shared" si="13"/>
        <v>5.2708372329845341</v>
      </c>
      <c r="AH9" s="199">
        <f t="shared" si="14"/>
        <v>4.8589067920408056</v>
      </c>
      <c r="AI9" s="199" t="e">
        <f t="shared" si="15"/>
        <v>#N/A</v>
      </c>
      <c r="AJ9" s="199" t="e">
        <f t="shared" si="16"/>
        <v>#N/A</v>
      </c>
      <c r="AK9" s="199" t="e">
        <f t="shared" si="17"/>
        <v>#N/A</v>
      </c>
    </row>
    <row r="10" spans="1:37" x14ac:dyDescent="0.25">
      <c r="A10">
        <v>45</v>
      </c>
      <c r="B10">
        <v>6.5</v>
      </c>
      <c r="C10" t="e">
        <f>(NA())</f>
        <v>#N/A</v>
      </c>
      <c r="D10" t="e">
        <f>(NA())</f>
        <v>#N/A</v>
      </c>
      <c r="E10">
        <v>43</v>
      </c>
      <c r="F10">
        <v>40.5</v>
      </c>
      <c r="G10">
        <v>37.5</v>
      </c>
      <c r="H10">
        <v>35</v>
      </c>
      <c r="I10">
        <v>32.5</v>
      </c>
      <c r="J10">
        <v>30</v>
      </c>
      <c r="K10" t="e">
        <f>(NA())</f>
        <v>#N/A</v>
      </c>
      <c r="L10" t="e">
        <f>(NA())</f>
        <v>#N/A</v>
      </c>
      <c r="M10" t="e">
        <f>(NA())</f>
        <v>#N/A</v>
      </c>
      <c r="O10" t="e">
        <f>(+C10-C3)/($A$10-6)*$A$10+C3</f>
        <v>#N/A</v>
      </c>
      <c r="P10" t="e">
        <f t="shared" ref="P10:Y10" si="24">(+D10-D3)/($A$10-6)*$A$10+D3</f>
        <v>#N/A</v>
      </c>
      <c r="Q10">
        <f t="shared" si="24"/>
        <v>45.46153846153846</v>
      </c>
      <c r="R10">
        <f t="shared" si="24"/>
        <v>42.884615384615387</v>
      </c>
      <c r="S10">
        <f t="shared" si="24"/>
        <v>39.730769230769226</v>
      </c>
      <c r="T10">
        <f t="shared" si="24"/>
        <v>37.153846153846153</v>
      </c>
      <c r="U10">
        <f t="shared" si="24"/>
        <v>34.57692307692308</v>
      </c>
      <c r="V10">
        <f t="shared" si="24"/>
        <v>32</v>
      </c>
      <c r="W10" t="e">
        <f t="shared" si="24"/>
        <v>#N/A</v>
      </c>
      <c r="X10" t="e">
        <f t="shared" si="24"/>
        <v>#N/A</v>
      </c>
      <c r="Y10" t="e">
        <f t="shared" si="24"/>
        <v>#N/A</v>
      </c>
      <c r="Z10">
        <f t="shared" si="19"/>
        <v>540</v>
      </c>
      <c r="AA10" s="199" t="e">
        <f t="shared" si="20"/>
        <v>#N/A</v>
      </c>
      <c r="AB10" s="199" t="e">
        <f t="shared" si="13"/>
        <v>#N/A</v>
      </c>
      <c r="AC10" s="199">
        <f t="shared" si="13"/>
        <v>7.2354285667161653</v>
      </c>
      <c r="AD10" s="199">
        <f t="shared" si="13"/>
        <v>6.8252985210562818</v>
      </c>
      <c r="AE10" s="203">
        <f t="shared" si="13"/>
        <v>6.3233483159203026</v>
      </c>
      <c r="AF10" s="201">
        <f t="shared" si="13"/>
        <v>5.913218270260419</v>
      </c>
      <c r="AG10" s="199">
        <f t="shared" si="13"/>
        <v>5.5030882246005355</v>
      </c>
      <c r="AH10" s="199">
        <f t="shared" si="14"/>
        <v>5.0929581789406511</v>
      </c>
      <c r="AI10" s="199" t="e">
        <f t="shared" si="15"/>
        <v>#N/A</v>
      </c>
      <c r="AJ10" s="199" t="e">
        <f t="shared" si="16"/>
        <v>#N/A</v>
      </c>
      <c r="AK10" s="199" t="e">
        <f t="shared" si="17"/>
        <v>#N/A</v>
      </c>
    </row>
    <row r="11" spans="1:37" x14ac:dyDescent="0.25">
      <c r="A11">
        <v>50</v>
      </c>
      <c r="B11">
        <v>7</v>
      </c>
      <c r="C11">
        <v>50.5</v>
      </c>
      <c r="D11">
        <v>47.5</v>
      </c>
      <c r="E11">
        <v>45</v>
      </c>
      <c r="F11">
        <v>42</v>
      </c>
      <c r="G11">
        <v>39</v>
      </c>
      <c r="H11">
        <v>36.5</v>
      </c>
      <c r="I11">
        <v>34</v>
      </c>
      <c r="J11" t="e">
        <f>(NA())</f>
        <v>#N/A</v>
      </c>
      <c r="K11" t="e">
        <f>(NA())</f>
        <v>#N/A</v>
      </c>
      <c r="L11" t="e">
        <f>(NA())</f>
        <v>#N/A</v>
      </c>
      <c r="M11" t="e">
        <f>(NA())</f>
        <v>#N/A</v>
      </c>
      <c r="O11" s="1">
        <f>(+C11-C3)/($A$11-6)*$A$11+C3</f>
        <v>53.159090909090907</v>
      </c>
      <c r="P11" s="1">
        <f t="shared" ref="P11:Y11" si="25">(+D11-D3)/($A$11-6)*$A$11+D3</f>
        <v>50.022727272727273</v>
      </c>
      <c r="Q11" s="1">
        <f t="shared" si="25"/>
        <v>47.454545454545453</v>
      </c>
      <c r="R11" s="1">
        <f t="shared" si="25"/>
        <v>44.318181818181813</v>
      </c>
      <c r="S11" s="1">
        <f t="shared" si="25"/>
        <v>41.181818181818187</v>
      </c>
      <c r="T11" s="1">
        <f t="shared" si="25"/>
        <v>38.61363636363636</v>
      </c>
      <c r="U11" s="1">
        <f t="shared" si="25"/>
        <v>36.045454545454547</v>
      </c>
      <c r="V11" s="1" t="e">
        <f t="shared" si="25"/>
        <v>#N/A</v>
      </c>
      <c r="W11" s="1" t="e">
        <f t="shared" si="25"/>
        <v>#N/A</v>
      </c>
      <c r="X11" s="1" t="e">
        <f t="shared" si="25"/>
        <v>#N/A</v>
      </c>
      <c r="Y11" s="1" t="e">
        <f t="shared" si="25"/>
        <v>#N/A</v>
      </c>
      <c r="Z11">
        <f t="shared" si="19"/>
        <v>600</v>
      </c>
      <c r="AA11" s="199">
        <f t="shared" si="20"/>
        <v>8.4605320884532542</v>
      </c>
      <c r="AB11" s="199">
        <f t="shared" si="13"/>
        <v>7.9613643123923099</v>
      </c>
      <c r="AC11" s="199">
        <f t="shared" si="13"/>
        <v>7.552625481269942</v>
      </c>
      <c r="AD11" s="199">
        <f t="shared" si="13"/>
        <v>7.0534577052089977</v>
      </c>
      <c r="AE11" s="202">
        <f t="shared" si="13"/>
        <v>6.5542899291480543</v>
      </c>
      <c r="AF11" s="199">
        <f t="shared" si="13"/>
        <v>6.1455510980256856</v>
      </c>
      <c r="AG11" s="199">
        <f t="shared" si="13"/>
        <v>5.7368122669033186</v>
      </c>
      <c r="AH11" s="199" t="e">
        <f t="shared" si="14"/>
        <v>#N/A</v>
      </c>
      <c r="AI11" s="199" t="e">
        <f t="shared" si="15"/>
        <v>#N/A</v>
      </c>
      <c r="AJ11" s="199" t="e">
        <f t="shared" si="16"/>
        <v>#N/A</v>
      </c>
      <c r="AK11" s="199" t="e">
        <f t="shared" si="17"/>
        <v>#N/A</v>
      </c>
    </row>
    <row r="12" spans="1:37" x14ac:dyDescent="0.25">
      <c r="A12">
        <v>55</v>
      </c>
      <c r="B12">
        <v>7.5</v>
      </c>
      <c r="C12">
        <v>52</v>
      </c>
      <c r="D12">
        <v>49.5</v>
      </c>
      <c r="E12">
        <v>46.5</v>
      </c>
      <c r="F12">
        <v>43.5</v>
      </c>
      <c r="G12">
        <v>40.5</v>
      </c>
      <c r="H12">
        <v>38</v>
      </c>
      <c r="I12" t="e">
        <f>(NA())</f>
        <v>#N/A</v>
      </c>
      <c r="J12" t="e">
        <f>(NA())</f>
        <v>#N/A</v>
      </c>
      <c r="K12" t="e">
        <f>(NA())</f>
        <v>#N/A</v>
      </c>
      <c r="L12" t="e">
        <f>(NA())</f>
        <v>#N/A</v>
      </c>
      <c r="M12" t="e">
        <f>(NA())</f>
        <v>#N/A</v>
      </c>
      <c r="O12" s="1">
        <f>(+C12-C3)/($A$12-6)*$A$12+C3</f>
        <v>54.571428571428569</v>
      </c>
      <c r="P12" s="1">
        <f t="shared" ref="P12:Y12" si="26">(+D12-D3)/($A$12-6)*$A$12+D3</f>
        <v>52.010204081632651</v>
      </c>
      <c r="Q12" s="1">
        <f t="shared" si="26"/>
        <v>48.887755102040813</v>
      </c>
      <c r="R12" s="1">
        <f t="shared" si="26"/>
        <v>45.765306122448976</v>
      </c>
      <c r="S12" s="1">
        <f t="shared" si="26"/>
        <v>42.642857142857139</v>
      </c>
      <c r="T12" s="1">
        <f t="shared" si="26"/>
        <v>40.08163265306122</v>
      </c>
      <c r="U12" s="1" t="e">
        <f t="shared" si="26"/>
        <v>#N/A</v>
      </c>
      <c r="V12" s="1" t="e">
        <f t="shared" si="26"/>
        <v>#N/A</v>
      </c>
      <c r="W12" s="1" t="e">
        <f t="shared" si="26"/>
        <v>#N/A</v>
      </c>
      <c r="X12" s="1" t="e">
        <f t="shared" si="26"/>
        <v>#N/A</v>
      </c>
      <c r="Y12" s="1" t="e">
        <f t="shared" si="26"/>
        <v>#N/A</v>
      </c>
      <c r="Z12">
        <f t="shared" si="19"/>
        <v>660</v>
      </c>
      <c r="AA12" s="199">
        <f t="shared" si="20"/>
        <v>8.685312608729145</v>
      </c>
      <c r="AB12" s="199">
        <f t="shared" si="13"/>
        <v>8.2776810708101074</v>
      </c>
      <c r="AC12" s="199">
        <f t="shared" si="13"/>
        <v>7.7807278811558218</v>
      </c>
      <c r="AD12" s="199">
        <f t="shared" si="13"/>
        <v>7.2837746915015362</v>
      </c>
      <c r="AE12" s="199">
        <f t="shared" si="13"/>
        <v>6.7868215018472506</v>
      </c>
      <c r="AF12" s="199">
        <f t="shared" si="13"/>
        <v>6.379189963928213</v>
      </c>
      <c r="AG12" s="199" t="e">
        <f t="shared" si="13"/>
        <v>#N/A</v>
      </c>
      <c r="AH12" s="199" t="e">
        <f t="shared" si="14"/>
        <v>#N/A</v>
      </c>
      <c r="AI12" s="199" t="e">
        <f t="shared" si="15"/>
        <v>#N/A</v>
      </c>
      <c r="AJ12" s="199" t="e">
        <f t="shared" si="16"/>
        <v>#N/A</v>
      </c>
      <c r="AK12" s="199" t="e">
        <f t="shared" si="17"/>
        <v>#N/A</v>
      </c>
    </row>
    <row r="13" spans="1:37" x14ac:dyDescent="0.25">
      <c r="A13">
        <v>60</v>
      </c>
      <c r="B13">
        <v>8</v>
      </c>
      <c r="C13">
        <v>54</v>
      </c>
      <c r="D13">
        <v>51</v>
      </c>
      <c r="E13">
        <v>48</v>
      </c>
      <c r="F13">
        <v>45</v>
      </c>
      <c r="G13">
        <v>42</v>
      </c>
      <c r="H13">
        <v>39</v>
      </c>
      <c r="I13" t="e">
        <f>(NA())</f>
        <v>#N/A</v>
      </c>
      <c r="J13" t="e">
        <f>(NA())</f>
        <v>#N/A</v>
      </c>
      <c r="K13" t="e">
        <f>(NA())</f>
        <v>#N/A</v>
      </c>
      <c r="L13" t="e">
        <f>(NA())</f>
        <v>#N/A</v>
      </c>
      <c r="M13" t="e">
        <f>(NA())</f>
        <v>#N/A</v>
      </c>
      <c r="O13" s="1">
        <f>(+C13-C3)/($A$13-6)*$A$13+C3</f>
        <v>56.555555555555557</v>
      </c>
      <c r="P13" s="1">
        <f t="shared" ref="P13:Y13" si="27">(+D13-D3)/($A$13-6)*$A$13+D3</f>
        <v>53.444444444444443</v>
      </c>
      <c r="Q13" s="1">
        <f t="shared" si="27"/>
        <v>50.333333333333329</v>
      </c>
      <c r="R13" s="1">
        <f t="shared" si="27"/>
        <v>47.222222222222221</v>
      </c>
      <c r="S13" s="1">
        <f t="shared" si="27"/>
        <v>44.111111111111114</v>
      </c>
      <c r="T13" s="1">
        <f t="shared" si="27"/>
        <v>41</v>
      </c>
      <c r="U13" s="1" t="e">
        <f t="shared" si="27"/>
        <v>#N/A</v>
      </c>
      <c r="V13" s="1" t="e">
        <f t="shared" si="27"/>
        <v>#N/A</v>
      </c>
      <c r="W13" s="1" t="e">
        <f t="shared" si="27"/>
        <v>#N/A</v>
      </c>
      <c r="X13" s="1" t="e">
        <f t="shared" si="27"/>
        <v>#N/A</v>
      </c>
      <c r="Y13" s="1" t="e">
        <f t="shared" si="27"/>
        <v>#N/A</v>
      </c>
      <c r="Z13">
        <f t="shared" si="19"/>
        <v>720</v>
      </c>
      <c r="AA13" s="199">
        <f t="shared" si="20"/>
        <v>9.0010962259749707</v>
      </c>
      <c r="AB13" s="199">
        <f t="shared" si="13"/>
        <v>8.505947514133517</v>
      </c>
      <c r="AC13" s="199">
        <f t="shared" si="13"/>
        <v>8.0107988022920651</v>
      </c>
      <c r="AD13" s="199">
        <f t="shared" si="13"/>
        <v>7.5156500904506132</v>
      </c>
      <c r="AE13" s="199">
        <f t="shared" si="13"/>
        <v>7.0205013786091621</v>
      </c>
      <c r="AF13" s="199">
        <f t="shared" si="13"/>
        <v>6.5253526667677093</v>
      </c>
      <c r="AG13" s="199" t="e">
        <f t="shared" si="13"/>
        <v>#N/A</v>
      </c>
      <c r="AH13" s="199" t="e">
        <f t="shared" si="14"/>
        <v>#N/A</v>
      </c>
      <c r="AI13" s="199" t="e">
        <f t="shared" si="15"/>
        <v>#N/A</v>
      </c>
      <c r="AJ13" s="199" t="e">
        <f t="shared" si="16"/>
        <v>#N/A</v>
      </c>
      <c r="AK13" s="199" t="e">
        <f t="shared" si="17"/>
        <v>#N/A</v>
      </c>
    </row>
    <row r="14" spans="1:37" x14ac:dyDescent="0.25">
      <c r="A14">
        <v>65</v>
      </c>
      <c r="B14">
        <v>8.5</v>
      </c>
      <c r="C14">
        <v>55.5</v>
      </c>
      <c r="D14">
        <v>52.5</v>
      </c>
      <c r="E14">
        <v>49.5</v>
      </c>
      <c r="F14">
        <v>46.5</v>
      </c>
      <c r="G14">
        <v>43.5</v>
      </c>
      <c r="H14">
        <v>40.5</v>
      </c>
      <c r="I14" t="e">
        <f>(NA())</f>
        <v>#N/A</v>
      </c>
      <c r="J14" t="e">
        <f>(NA())</f>
        <v>#N/A</v>
      </c>
      <c r="K14" t="e">
        <f>(NA())</f>
        <v>#N/A</v>
      </c>
      <c r="L14" t="e">
        <f>(NA())</f>
        <v>#N/A</v>
      </c>
      <c r="M14" t="e">
        <f>(NA())</f>
        <v>#N/A</v>
      </c>
      <c r="O14" s="1">
        <f>(+C14-C3)/($A$14-6)*$A$14+C3</f>
        <v>57.991525423728817</v>
      </c>
      <c r="P14" s="1">
        <f t="shared" ref="P14:Y14" si="28">(+D14-D3)/($A$14-6)*$A$14+D3</f>
        <v>54.889830508474574</v>
      </c>
      <c r="Q14" s="1">
        <f t="shared" si="28"/>
        <v>51.788135593220339</v>
      </c>
      <c r="R14" s="1">
        <f t="shared" si="28"/>
        <v>48.686440677966104</v>
      </c>
      <c r="S14" s="1">
        <f t="shared" si="28"/>
        <v>45.584745762711862</v>
      </c>
      <c r="T14" s="1">
        <f t="shared" si="28"/>
        <v>42.483050847457626</v>
      </c>
      <c r="U14" s="1" t="e">
        <f t="shared" si="28"/>
        <v>#N/A</v>
      </c>
      <c r="V14" s="1" t="e">
        <f t="shared" si="28"/>
        <v>#N/A</v>
      </c>
      <c r="W14" s="1" t="e">
        <f t="shared" si="28"/>
        <v>#N/A</v>
      </c>
      <c r="X14" s="1" t="e">
        <f t="shared" si="28"/>
        <v>#N/A</v>
      </c>
      <c r="Y14" s="1" t="e">
        <f t="shared" si="28"/>
        <v>#N/A</v>
      </c>
      <c r="Z14">
        <f t="shared" si="19"/>
        <v>780</v>
      </c>
      <c r="AA14" s="199">
        <f t="shared" si="20"/>
        <v>9.2296379286257615</v>
      </c>
      <c r="AB14" s="199">
        <f t="shared" si="13"/>
        <v>8.7359878509000524</v>
      </c>
      <c r="AC14" s="199">
        <f t="shared" si="13"/>
        <v>8.2423377731743432</v>
      </c>
      <c r="AD14" s="199">
        <f t="shared" si="13"/>
        <v>7.7486876954486341</v>
      </c>
      <c r="AE14" s="199">
        <f t="shared" si="13"/>
        <v>7.2550376177229232</v>
      </c>
      <c r="AF14" s="199">
        <f t="shared" si="13"/>
        <v>6.761387539997215</v>
      </c>
      <c r="AG14" s="199" t="e">
        <f t="shared" si="13"/>
        <v>#N/A</v>
      </c>
      <c r="AH14" s="199" t="e">
        <f t="shared" si="14"/>
        <v>#N/A</v>
      </c>
      <c r="AI14" s="199" t="e">
        <f t="shared" si="15"/>
        <v>#N/A</v>
      </c>
      <c r="AJ14" s="199" t="e">
        <f t="shared" si="16"/>
        <v>#N/A</v>
      </c>
      <c r="AK14" s="199" t="e">
        <f t="shared" si="17"/>
        <v>#N/A</v>
      </c>
    </row>
    <row r="15" spans="1:37" x14ac:dyDescent="0.25">
      <c r="A15">
        <v>70</v>
      </c>
      <c r="B15">
        <v>9</v>
      </c>
      <c r="C15">
        <v>57</v>
      </c>
      <c r="D15">
        <v>54</v>
      </c>
      <c r="E15">
        <v>51</v>
      </c>
      <c r="F15">
        <v>48</v>
      </c>
      <c r="G15">
        <v>45</v>
      </c>
      <c r="H15">
        <v>41.5</v>
      </c>
      <c r="I15" t="e">
        <f>(NA())</f>
        <v>#N/A</v>
      </c>
      <c r="J15" t="e">
        <f>(NA())</f>
        <v>#N/A</v>
      </c>
      <c r="K15" t="e">
        <f>(NA())</f>
        <v>#N/A</v>
      </c>
      <c r="L15" t="e">
        <f>(NA())</f>
        <v>#N/A</v>
      </c>
      <c r="M15" t="e">
        <f>(NA())</f>
        <v>#N/A</v>
      </c>
      <c r="O15" s="1">
        <f>(+C15-C3)/($A$15-6)*$A$15+C3</f>
        <v>59.4375</v>
      </c>
      <c r="P15" s="1">
        <f t="shared" ref="P15:Y15" si="29">(+D15-D3)/($A$15-6)*$A$15+D3</f>
        <v>56.34375</v>
      </c>
      <c r="Q15" s="1">
        <f t="shared" si="29"/>
        <v>53.25</v>
      </c>
      <c r="R15" s="1">
        <f t="shared" si="29"/>
        <v>50.15625</v>
      </c>
      <c r="S15" s="1">
        <f t="shared" si="29"/>
        <v>47.0625</v>
      </c>
      <c r="T15" s="1">
        <f t="shared" si="29"/>
        <v>43.421875</v>
      </c>
      <c r="U15" s="1" t="e">
        <f t="shared" si="29"/>
        <v>#N/A</v>
      </c>
      <c r="V15" s="1" t="e">
        <f t="shared" si="29"/>
        <v>#N/A</v>
      </c>
      <c r="W15" s="1" t="e">
        <f t="shared" si="29"/>
        <v>#N/A</v>
      </c>
      <c r="X15" s="1" t="e">
        <f t="shared" si="29"/>
        <v>#N/A</v>
      </c>
      <c r="Y15" s="1" t="e">
        <f t="shared" si="29"/>
        <v>#N/A</v>
      </c>
      <c r="Z15">
        <f t="shared" si="19"/>
        <v>840</v>
      </c>
      <c r="AA15" s="199">
        <f t="shared" si="20"/>
        <v>9.4597719300245302</v>
      </c>
      <c r="AB15" s="199">
        <f t="shared" si="13"/>
        <v>8.9673863248339778</v>
      </c>
      <c r="AC15" s="199">
        <f t="shared" si="13"/>
        <v>8.4750007196434272</v>
      </c>
      <c r="AD15" s="199">
        <f t="shared" si="13"/>
        <v>7.9826151144528756</v>
      </c>
      <c r="AE15" s="199">
        <f t="shared" si="13"/>
        <v>7.4902295092623241</v>
      </c>
      <c r="AF15" s="199">
        <f t="shared" si="13"/>
        <v>6.9108060445683934</v>
      </c>
      <c r="AG15" s="199" t="e">
        <f t="shared" si="13"/>
        <v>#N/A</v>
      </c>
      <c r="AH15" s="199" t="e">
        <f t="shared" si="14"/>
        <v>#N/A</v>
      </c>
      <c r="AI15" s="199" t="e">
        <f t="shared" si="15"/>
        <v>#N/A</v>
      </c>
      <c r="AJ15" s="199" t="e">
        <f t="shared" si="16"/>
        <v>#N/A</v>
      </c>
      <c r="AK15" s="199" t="e">
        <f t="shared" si="17"/>
        <v>#N/A</v>
      </c>
    </row>
    <row r="16" spans="1:37" x14ac:dyDescent="0.25">
      <c r="A16">
        <v>75</v>
      </c>
      <c r="B16">
        <v>9.5</v>
      </c>
      <c r="C16">
        <v>59</v>
      </c>
      <c r="D16">
        <v>55.5</v>
      </c>
      <c r="E16">
        <v>52.5</v>
      </c>
      <c r="F16">
        <v>49</v>
      </c>
      <c r="G16">
        <v>46</v>
      </c>
      <c r="H16" t="e">
        <f>(NA())</f>
        <v>#N/A</v>
      </c>
      <c r="I16" t="e">
        <f>(NA())</f>
        <v>#N/A</v>
      </c>
      <c r="J16" t="e">
        <f>(NA())</f>
        <v>#N/A</v>
      </c>
      <c r="K16" t="e">
        <f>(NA())</f>
        <v>#N/A</v>
      </c>
      <c r="L16" t="e">
        <f>(NA())</f>
        <v>#N/A</v>
      </c>
      <c r="M16" t="e">
        <f>(NA())</f>
        <v>#N/A</v>
      </c>
      <c r="O16" s="1">
        <f>(+C16-C3)/($A$16-6)*$A$16+C3</f>
        <v>61.434782608695656</v>
      </c>
      <c r="P16" s="1">
        <f t="shared" ref="P16:Y16" si="30">(+D16-D3)/($A$16-6)*$A$16+D3</f>
        <v>57.804347826086953</v>
      </c>
      <c r="Q16" s="1">
        <f t="shared" si="30"/>
        <v>54.717391304347828</v>
      </c>
      <c r="R16" s="1">
        <f t="shared" si="30"/>
        <v>51.086956521739125</v>
      </c>
      <c r="S16" s="1">
        <f t="shared" si="30"/>
        <v>48</v>
      </c>
      <c r="T16" s="1" t="e">
        <f t="shared" si="30"/>
        <v>#N/A</v>
      </c>
      <c r="U16" s="1" t="e">
        <f t="shared" si="30"/>
        <v>#N/A</v>
      </c>
      <c r="V16" s="1" t="e">
        <f t="shared" si="30"/>
        <v>#N/A</v>
      </c>
      <c r="W16" s="1" t="e">
        <f t="shared" si="30"/>
        <v>#N/A</v>
      </c>
      <c r="X16" s="1" t="e">
        <f t="shared" si="30"/>
        <v>#N/A</v>
      </c>
      <c r="Y16" s="1" t="e">
        <f t="shared" si="30"/>
        <v>#N/A</v>
      </c>
      <c r="Z16">
        <f t="shared" si="19"/>
        <v>900</v>
      </c>
      <c r="AA16" s="199">
        <f t="shared" si="20"/>
        <v>9.7776493299499183</v>
      </c>
      <c r="AB16" s="199">
        <f t="shared" si="13"/>
        <v>9.1998476887249936</v>
      </c>
      <c r="AC16" s="199">
        <f t="shared" si="13"/>
        <v>8.7085432991804481</v>
      </c>
      <c r="AD16" s="199">
        <f t="shared" si="13"/>
        <v>8.1307416579555216</v>
      </c>
      <c r="AE16" s="199">
        <f t="shared" si="13"/>
        <v>7.6394372684109761</v>
      </c>
      <c r="AF16" s="199" t="e">
        <f t="shared" si="13"/>
        <v>#N/A</v>
      </c>
      <c r="AG16" s="199" t="e">
        <f t="shared" si="13"/>
        <v>#N/A</v>
      </c>
      <c r="AH16" s="199" t="e">
        <f t="shared" si="14"/>
        <v>#N/A</v>
      </c>
      <c r="AI16" s="199" t="e">
        <f t="shared" si="15"/>
        <v>#N/A</v>
      </c>
      <c r="AJ16" s="199" t="e">
        <f t="shared" si="16"/>
        <v>#N/A</v>
      </c>
      <c r="AK16" s="199" t="e">
        <f t="shared" si="17"/>
        <v>#N/A</v>
      </c>
    </row>
    <row r="17" spans="1:37" x14ac:dyDescent="0.25">
      <c r="A17">
        <v>80</v>
      </c>
      <c r="B17">
        <v>10</v>
      </c>
      <c r="C17">
        <v>60</v>
      </c>
      <c r="D17">
        <v>57</v>
      </c>
      <c r="E17">
        <v>54</v>
      </c>
      <c r="F17">
        <v>50.5</v>
      </c>
      <c r="G17">
        <v>47</v>
      </c>
      <c r="H17" t="e">
        <f>(NA())</f>
        <v>#N/A</v>
      </c>
      <c r="I17" t="e">
        <f>(NA())</f>
        <v>#N/A</v>
      </c>
      <c r="J17" t="e">
        <f>(NA())</f>
        <v>#N/A</v>
      </c>
      <c r="K17" t="e">
        <f>(NA())</f>
        <v>#N/A</v>
      </c>
      <c r="L17" t="e">
        <f>(NA())</f>
        <v>#N/A</v>
      </c>
      <c r="M17" t="e">
        <f>(NA())</f>
        <v>#N/A</v>
      </c>
      <c r="O17" s="1">
        <f>(+C17-C3)/($A$17-6)*$A$17+C3</f>
        <v>62.351351351351354</v>
      </c>
      <c r="P17" s="1">
        <f t="shared" ref="P17:Y17" si="31">(+D17-D3)/($A$17-6)*$A$17+D3</f>
        <v>59.270270270270274</v>
      </c>
      <c r="Q17" s="1">
        <f t="shared" si="31"/>
        <v>56.189189189189193</v>
      </c>
      <c r="R17" s="1">
        <f t="shared" si="31"/>
        <v>52.567567567567565</v>
      </c>
      <c r="S17" s="1">
        <f t="shared" si="31"/>
        <v>48.945945945945951</v>
      </c>
      <c r="T17" s="1" t="e">
        <f t="shared" si="31"/>
        <v>#N/A</v>
      </c>
      <c r="U17" s="1" t="e">
        <f t="shared" si="31"/>
        <v>#N/A</v>
      </c>
      <c r="V17" s="1" t="e">
        <f t="shared" si="31"/>
        <v>#N/A</v>
      </c>
      <c r="W17" s="1" t="e">
        <f t="shared" si="31"/>
        <v>#N/A</v>
      </c>
      <c r="X17" s="1" t="e">
        <f t="shared" si="31"/>
        <v>#N/A</v>
      </c>
      <c r="Y17" s="1" t="e">
        <f t="shared" si="31"/>
        <v>#N/A</v>
      </c>
      <c r="Z17">
        <f t="shared" si="19"/>
        <v>960</v>
      </c>
      <c r="AA17" s="199">
        <f t="shared" si="20"/>
        <v>9.9235257760270965</v>
      </c>
      <c r="AB17" s="199">
        <f t="shared" si="13"/>
        <v>9.4331564919061215</v>
      </c>
      <c r="AC17" s="199">
        <f t="shared" si="13"/>
        <v>8.9427872077851465</v>
      </c>
      <c r="AD17" s="199">
        <f t="shared" si="13"/>
        <v>8.3663882246955783</v>
      </c>
      <c r="AE17" s="199">
        <f t="shared" si="13"/>
        <v>7.7899892416060137</v>
      </c>
      <c r="AF17" s="199" t="e">
        <f t="shared" si="13"/>
        <v>#N/A</v>
      </c>
      <c r="AG17" s="199" t="e">
        <f t="shared" si="13"/>
        <v>#N/A</v>
      </c>
      <c r="AH17" s="199" t="e">
        <f t="shared" si="14"/>
        <v>#N/A</v>
      </c>
      <c r="AI17" s="199" t="e">
        <f t="shared" si="15"/>
        <v>#N/A</v>
      </c>
      <c r="AJ17" s="199" t="e">
        <f t="shared" si="16"/>
        <v>#N/A</v>
      </c>
      <c r="AK17" s="199" t="e">
        <f t="shared" si="17"/>
        <v>#N/A</v>
      </c>
    </row>
    <row r="18" spans="1:37" x14ac:dyDescent="0.25">
      <c r="A18">
        <v>85</v>
      </c>
      <c r="B18">
        <v>10.5</v>
      </c>
      <c r="C18">
        <v>61.5</v>
      </c>
      <c r="D18">
        <v>58.5</v>
      </c>
      <c r="E18">
        <v>55</v>
      </c>
      <c r="F18">
        <v>51.5</v>
      </c>
      <c r="G18">
        <v>48</v>
      </c>
      <c r="H18" t="e">
        <f>(NA())</f>
        <v>#N/A</v>
      </c>
      <c r="I18" t="e">
        <f>(NA())</f>
        <v>#N/A</v>
      </c>
      <c r="J18" t="e">
        <f>(NA())</f>
        <v>#N/A</v>
      </c>
      <c r="K18" t="e">
        <f>(NA())</f>
        <v>#N/A</v>
      </c>
      <c r="L18" t="e">
        <f>(NA())</f>
        <v>#N/A</v>
      </c>
      <c r="M18" t="e">
        <f>(NA())</f>
        <v>#N/A</v>
      </c>
      <c r="O18" s="1">
        <f>(+C18-C3)/($A$18-6)*$A$18+C3</f>
        <v>63.816455696202532</v>
      </c>
      <c r="P18" s="1">
        <f t="shared" ref="P18:Y18" si="32">(+D18-D3)/($A$18-6)*$A$18+D3</f>
        <v>60.740506329113927</v>
      </c>
      <c r="Q18" s="1">
        <f t="shared" si="32"/>
        <v>57.12658227848101</v>
      </c>
      <c r="R18" s="1">
        <f t="shared" si="32"/>
        <v>53.512658227848107</v>
      </c>
      <c r="S18" s="1">
        <f t="shared" si="32"/>
        <v>49.898734177215189</v>
      </c>
      <c r="T18" s="1" t="e">
        <f t="shared" si="32"/>
        <v>#N/A</v>
      </c>
      <c r="U18" s="1" t="e">
        <f t="shared" si="32"/>
        <v>#N/A</v>
      </c>
      <c r="V18" s="1" t="e">
        <f t="shared" si="32"/>
        <v>#N/A</v>
      </c>
      <c r="W18" s="1" t="e">
        <f t="shared" si="32"/>
        <v>#N/A</v>
      </c>
      <c r="X18" s="1" t="e">
        <f t="shared" si="32"/>
        <v>#N/A</v>
      </c>
      <c r="Y18" s="1" t="e">
        <f t="shared" si="32"/>
        <v>#N/A</v>
      </c>
      <c r="Z18">
        <f t="shared" si="19"/>
        <v>1020</v>
      </c>
      <c r="AA18" s="199">
        <f t="shared" si="20"/>
        <v>10.156704374655574</v>
      </c>
      <c r="AB18" s="199">
        <f t="shared" si="13"/>
        <v>9.6671518281830355</v>
      </c>
      <c r="AC18" s="199">
        <f t="shared" si="13"/>
        <v>9.0919779515661219</v>
      </c>
      <c r="AD18" s="199">
        <f t="shared" si="13"/>
        <v>8.51680407494921</v>
      </c>
      <c r="AE18" s="199">
        <f t="shared" si="13"/>
        <v>7.9416301983322963</v>
      </c>
      <c r="AF18" s="199" t="e">
        <f t="shared" si="13"/>
        <v>#N/A</v>
      </c>
      <c r="AG18" s="199" t="e">
        <f t="shared" si="13"/>
        <v>#N/A</v>
      </c>
      <c r="AH18" s="199" t="e">
        <f t="shared" si="14"/>
        <v>#N/A</v>
      </c>
      <c r="AI18" s="199" t="e">
        <f t="shared" si="15"/>
        <v>#N/A</v>
      </c>
      <c r="AJ18" s="199" t="e">
        <f t="shared" si="16"/>
        <v>#N/A</v>
      </c>
      <c r="AK18" s="199" t="e">
        <f t="shared" si="17"/>
        <v>#N/A</v>
      </c>
    </row>
    <row r="19" spans="1:37" x14ac:dyDescent="0.25">
      <c r="A19">
        <v>90</v>
      </c>
      <c r="B19">
        <v>11</v>
      </c>
      <c r="C19">
        <v>63</v>
      </c>
      <c r="D19">
        <v>59.5</v>
      </c>
      <c r="E19">
        <v>56</v>
      </c>
      <c r="F19">
        <v>53</v>
      </c>
      <c r="G19">
        <v>49</v>
      </c>
      <c r="H19" t="e">
        <f>(NA())</f>
        <v>#N/A</v>
      </c>
      <c r="I19" t="e">
        <f>(NA())</f>
        <v>#N/A</v>
      </c>
      <c r="J19" t="e">
        <f>(NA())</f>
        <v>#N/A</v>
      </c>
      <c r="K19" t="e">
        <f>(NA())</f>
        <v>#N/A</v>
      </c>
      <c r="L19" t="e">
        <f>(NA())</f>
        <v>#N/A</v>
      </c>
      <c r="M19" t="e">
        <f>(NA())</f>
        <v>#N/A</v>
      </c>
      <c r="O19" s="1">
        <f>(+C19-C3)/($A$19-6)*$A$19+C3</f>
        <v>65.285714285714278</v>
      </c>
      <c r="P19" s="1">
        <f t="shared" ref="P19:Y19" si="33">(+D19-D3)/($A$19-6)*$A$19+D3</f>
        <v>61.678571428571431</v>
      </c>
      <c r="Q19" s="1">
        <f t="shared" si="33"/>
        <v>58.071428571428569</v>
      </c>
      <c r="R19" s="1">
        <f t="shared" si="33"/>
        <v>55</v>
      </c>
      <c r="S19" s="1">
        <f t="shared" si="33"/>
        <v>50.857142857142861</v>
      </c>
      <c r="T19" s="1" t="e">
        <f t="shared" si="33"/>
        <v>#N/A</v>
      </c>
      <c r="U19" s="1" t="e">
        <f t="shared" si="33"/>
        <v>#N/A</v>
      </c>
      <c r="V19" s="1" t="e">
        <f t="shared" si="33"/>
        <v>#N/A</v>
      </c>
      <c r="W19" s="1" t="e">
        <f t="shared" si="33"/>
        <v>#N/A</v>
      </c>
      <c r="X19" s="1" t="e">
        <f t="shared" si="33"/>
        <v>#N/A</v>
      </c>
      <c r="Y19" s="1" t="e">
        <f t="shared" si="33"/>
        <v>#N/A</v>
      </c>
      <c r="Z19">
        <f t="shared" si="19"/>
        <v>1080</v>
      </c>
      <c r="AA19" s="199">
        <f t="shared" si="20"/>
        <v>10.390544141856594</v>
      </c>
      <c r="AB19" s="199">
        <f t="shared" si="13"/>
        <v>9.8164495257036872</v>
      </c>
      <c r="AC19" s="199">
        <f t="shared" si="13"/>
        <v>9.2423549095507784</v>
      </c>
      <c r="AD19" s="199">
        <f t="shared" si="13"/>
        <v>8.753521870054243</v>
      </c>
      <c r="AE19" s="199">
        <f t="shared" si="13"/>
        <v>8.0941656772449644</v>
      </c>
      <c r="AF19" s="199" t="e">
        <f t="shared" si="13"/>
        <v>#N/A</v>
      </c>
      <c r="AG19" s="199" t="e">
        <f t="shared" si="13"/>
        <v>#N/A</v>
      </c>
      <c r="AH19" s="199" t="e">
        <f t="shared" si="14"/>
        <v>#N/A</v>
      </c>
      <c r="AI19" s="199" t="e">
        <f t="shared" si="15"/>
        <v>#N/A</v>
      </c>
      <c r="AJ19" s="199" t="e">
        <f t="shared" si="16"/>
        <v>#N/A</v>
      </c>
      <c r="AK19" s="199" t="e">
        <f t="shared" si="17"/>
        <v>#N/A</v>
      </c>
    </row>
    <row r="20" spans="1:37" x14ac:dyDescent="0.25">
      <c r="A20">
        <v>95</v>
      </c>
      <c r="B20">
        <v>11</v>
      </c>
      <c r="C20">
        <v>64.5</v>
      </c>
      <c r="D20">
        <v>61</v>
      </c>
      <c r="E20">
        <v>57</v>
      </c>
      <c r="F20">
        <v>54</v>
      </c>
      <c r="G20" t="e">
        <f>(NA())</f>
        <v>#N/A</v>
      </c>
      <c r="H20" t="e">
        <f>(NA())</f>
        <v>#N/A</v>
      </c>
      <c r="I20" t="e">
        <f>(NA())</f>
        <v>#N/A</v>
      </c>
      <c r="J20" t="e">
        <f>(NA())</f>
        <v>#N/A</v>
      </c>
      <c r="K20" t="e">
        <f>(NA())</f>
        <v>#N/A</v>
      </c>
      <c r="L20" t="e">
        <f>(NA())</f>
        <v>#N/A</v>
      </c>
      <c r="M20" t="e">
        <f>(NA())</f>
        <v>#N/A</v>
      </c>
      <c r="O20" s="1">
        <f>(+C20-C3)/($A$20-6)*$A$20+C3</f>
        <v>66.758426966292134</v>
      </c>
      <c r="P20" s="1">
        <f t="shared" ref="P20:Y20" si="34">(+D20-D3)/($A$20-6)*$A$20+D3</f>
        <v>63.157303370786515</v>
      </c>
      <c r="Q20" s="1">
        <f t="shared" si="34"/>
        <v>59.022471910112358</v>
      </c>
      <c r="R20" s="1">
        <f t="shared" si="34"/>
        <v>55.955056179775283</v>
      </c>
      <c r="S20" s="1" t="e">
        <f t="shared" si="34"/>
        <v>#N/A</v>
      </c>
      <c r="T20" s="1" t="e">
        <f t="shared" si="34"/>
        <v>#N/A</v>
      </c>
      <c r="U20" s="1" t="e">
        <f t="shared" si="34"/>
        <v>#N/A</v>
      </c>
      <c r="V20" s="1" t="e">
        <f t="shared" si="34"/>
        <v>#N/A</v>
      </c>
      <c r="W20" s="1" t="e">
        <f t="shared" si="34"/>
        <v>#N/A</v>
      </c>
      <c r="X20" s="1" t="e">
        <f t="shared" si="34"/>
        <v>#N/A</v>
      </c>
      <c r="Y20" s="1" t="e">
        <f t="shared" si="34"/>
        <v>#N/A</v>
      </c>
      <c r="Z20">
        <f t="shared" si="19"/>
        <v>1140</v>
      </c>
      <c r="AA20" s="199">
        <f t="shared" si="20"/>
        <v>10.624933644724676</v>
      </c>
      <c r="AB20" s="199">
        <f t="shared" si="13"/>
        <v>10.051797023815098</v>
      </c>
      <c r="AC20" s="199">
        <f t="shared" si="13"/>
        <v>9.3937181579969238</v>
      </c>
      <c r="AD20" s="199">
        <f t="shared" si="13"/>
        <v>8.9055237819959423</v>
      </c>
      <c r="AE20" s="199" t="e">
        <f t="shared" si="13"/>
        <v>#N/A</v>
      </c>
      <c r="AF20" s="199" t="e">
        <f t="shared" si="13"/>
        <v>#N/A</v>
      </c>
      <c r="AG20" s="199" t="e">
        <f t="shared" si="13"/>
        <v>#N/A</v>
      </c>
      <c r="AH20" s="199" t="e">
        <f t="shared" si="14"/>
        <v>#N/A</v>
      </c>
      <c r="AI20" s="199" t="e">
        <f t="shared" si="15"/>
        <v>#N/A</v>
      </c>
      <c r="AJ20" s="199" t="e">
        <f t="shared" si="16"/>
        <v>#N/A</v>
      </c>
      <c r="AK20" s="199" t="e">
        <f t="shared" si="17"/>
        <v>#N/A</v>
      </c>
    </row>
    <row r="21" spans="1:37" x14ac:dyDescent="0.25">
      <c r="A21">
        <v>100</v>
      </c>
      <c r="B21">
        <v>11</v>
      </c>
      <c r="C21">
        <v>65.5</v>
      </c>
      <c r="D21">
        <v>62</v>
      </c>
      <c r="E21">
        <v>58.5</v>
      </c>
      <c r="F21">
        <v>54</v>
      </c>
      <c r="G21" t="e">
        <f>(NA())</f>
        <v>#N/A</v>
      </c>
      <c r="H21" t="e">
        <f>(NA())</f>
        <v>#N/A</v>
      </c>
      <c r="I21" t="e">
        <f>(NA())</f>
        <v>#N/A</v>
      </c>
      <c r="J21" t="e">
        <f>(NA())</f>
        <v>#N/A</v>
      </c>
      <c r="K21" t="e">
        <f>(NA())</f>
        <v>#N/A</v>
      </c>
      <c r="L21" t="e">
        <f>(NA())</f>
        <v>#N/A</v>
      </c>
      <c r="M21" t="e">
        <f>(NA())</f>
        <v>#N/A</v>
      </c>
      <c r="O21" s="1">
        <f>(+C21-C3)/($A$21-6)*$A$21+C3</f>
        <v>67.702127659574472</v>
      </c>
      <c r="P21" s="1">
        <f t="shared" ref="P21:Y21" si="35">(+D21-D3)/($A$21-6)*$A$21+D3</f>
        <v>64.106382978723403</v>
      </c>
      <c r="Q21" s="1">
        <f t="shared" si="35"/>
        <v>60.51063829787234</v>
      </c>
      <c r="R21" s="1">
        <f t="shared" si="35"/>
        <v>55.851063829787236</v>
      </c>
      <c r="S21" s="1" t="e">
        <f t="shared" si="35"/>
        <v>#N/A</v>
      </c>
      <c r="T21" s="1" t="e">
        <f t="shared" si="35"/>
        <v>#N/A</v>
      </c>
      <c r="U21" s="1" t="e">
        <f t="shared" si="35"/>
        <v>#N/A</v>
      </c>
      <c r="V21" s="1" t="e">
        <f t="shared" si="35"/>
        <v>#N/A</v>
      </c>
      <c r="W21" s="1" t="e">
        <f t="shared" si="35"/>
        <v>#N/A</v>
      </c>
      <c r="X21" s="1" t="e">
        <f t="shared" si="35"/>
        <v>#N/A</v>
      </c>
      <c r="Y21" s="1" t="e">
        <f t="shared" si="35"/>
        <v>#N/A</v>
      </c>
      <c r="Z21">
        <f t="shared" si="19"/>
        <v>1200</v>
      </c>
      <c r="AA21" s="199">
        <f t="shared" si="20"/>
        <v>10.775128274859808</v>
      </c>
      <c r="AB21" s="199">
        <f t="shared" ref="AB21:AB22" si="36">+P21/PI()/2</f>
        <v>10.202847734805971</v>
      </c>
      <c r="AC21" s="199">
        <f t="shared" ref="AC21:AC22" si="37">+Q21/PI()/2</f>
        <v>9.6305671947521354</v>
      </c>
      <c r="AD21" s="199">
        <f t="shared" ref="AD21:AD22" si="38">+R21/PI()/2</f>
        <v>8.8889728854516026</v>
      </c>
      <c r="AE21" s="199" t="e">
        <f t="shared" ref="AE21:AE22" si="39">+S21/PI()/2</f>
        <v>#N/A</v>
      </c>
      <c r="AF21" s="199" t="e">
        <f t="shared" ref="AF21:AF22" si="40">+T21/PI()/2</f>
        <v>#N/A</v>
      </c>
      <c r="AG21" s="199" t="e">
        <f t="shared" ref="AG21:AG22" si="41">+U21/PI()/2</f>
        <v>#N/A</v>
      </c>
      <c r="AH21" s="199" t="e">
        <f t="shared" si="14"/>
        <v>#N/A</v>
      </c>
      <c r="AI21" s="199" t="e">
        <f t="shared" si="15"/>
        <v>#N/A</v>
      </c>
      <c r="AJ21" s="199" t="e">
        <f t="shared" si="16"/>
        <v>#N/A</v>
      </c>
      <c r="AK21" s="199" t="e">
        <f t="shared" si="17"/>
        <v>#N/A</v>
      </c>
    </row>
    <row r="22" spans="1:37" x14ac:dyDescent="0.25">
      <c r="A22">
        <v>105</v>
      </c>
      <c r="C22">
        <v>67</v>
      </c>
      <c r="D22">
        <v>63</v>
      </c>
      <c r="E22">
        <v>59.5</v>
      </c>
      <c r="F22">
        <v>56</v>
      </c>
      <c r="G22" t="e">
        <f>(NA())</f>
        <v>#N/A</v>
      </c>
      <c r="H22" t="e">
        <f>(NA())</f>
        <v>#N/A</v>
      </c>
      <c r="I22" t="e">
        <f>(NA())</f>
        <v>#N/A</v>
      </c>
      <c r="J22" t="e">
        <f>(NA())</f>
        <v>#N/A</v>
      </c>
      <c r="K22" t="e">
        <f>(NA())</f>
        <v>#N/A</v>
      </c>
      <c r="L22" t="e">
        <f>(NA())</f>
        <v>#N/A</v>
      </c>
      <c r="M22" t="e">
        <f>(NA())</f>
        <v>#N/A</v>
      </c>
      <c r="O22" s="1">
        <f>(+C22-C3)/($A$22-6)*$A$22+C3</f>
        <v>69.181818181818187</v>
      </c>
      <c r="P22" s="1">
        <f t="shared" ref="P22:Y22" si="42">(+D22-D3)/($A$22-6)*$A$22+D3</f>
        <v>65.060606060606062</v>
      </c>
      <c r="Q22" s="1">
        <f t="shared" si="42"/>
        <v>61.469696969696969</v>
      </c>
      <c r="R22" s="1">
        <f t="shared" si="42"/>
        <v>57.878787878787882</v>
      </c>
      <c r="S22" s="1" t="e">
        <f t="shared" si="42"/>
        <v>#N/A</v>
      </c>
      <c r="T22" s="1" t="e">
        <f t="shared" si="42"/>
        <v>#N/A</v>
      </c>
      <c r="U22" s="1" t="e">
        <f t="shared" si="42"/>
        <v>#N/A</v>
      </c>
      <c r="V22" s="1" t="e">
        <f t="shared" si="42"/>
        <v>#N/A</v>
      </c>
      <c r="W22" s="1" t="e">
        <f t="shared" si="42"/>
        <v>#N/A</v>
      </c>
      <c r="X22" s="1" t="e">
        <f t="shared" si="42"/>
        <v>#N/A</v>
      </c>
      <c r="Y22" s="1" t="e">
        <f t="shared" si="42"/>
        <v>#N/A</v>
      </c>
      <c r="Z22">
        <f t="shared" si="19"/>
        <v>1260</v>
      </c>
      <c r="AA22" s="199">
        <f t="shared" si="20"/>
        <v>11.010628335721124</v>
      </c>
      <c r="AB22" s="199">
        <f t="shared" si="36"/>
        <v>10.354717055099979</v>
      </c>
      <c r="AC22" s="199">
        <f t="shared" si="37"/>
        <v>9.7832061230881724</v>
      </c>
      <c r="AD22" s="199">
        <f t="shared" si="38"/>
        <v>9.2116951910763678</v>
      </c>
      <c r="AE22" s="199" t="e">
        <f t="shared" si="39"/>
        <v>#N/A</v>
      </c>
      <c r="AF22" s="199" t="e">
        <f t="shared" si="40"/>
        <v>#N/A</v>
      </c>
      <c r="AG22" s="199" t="e">
        <f t="shared" si="41"/>
        <v>#N/A</v>
      </c>
      <c r="AH22" s="199" t="e">
        <f t="shared" si="14"/>
        <v>#N/A</v>
      </c>
      <c r="AI22" s="199" t="e">
        <f t="shared" si="15"/>
        <v>#N/A</v>
      </c>
      <c r="AJ22" s="199" t="e">
        <f t="shared" si="16"/>
        <v>#N/A</v>
      </c>
      <c r="AK22" s="199" t="e">
        <f t="shared" si="17"/>
        <v>#N/A</v>
      </c>
    </row>
  </sheetData>
  <mergeCells count="2">
    <mergeCell ref="A1:M1"/>
    <mergeCell ref="C4:M4"/>
  </mergeCells>
  <phoneticPr fontId="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214"/>
  <sheetViews>
    <sheetView workbookViewId="0">
      <pane ySplit="3" topLeftCell="A67" activePane="bottomLeft" state="frozen"/>
      <selection pane="bottomLeft" activeCell="R5" sqref="R5"/>
    </sheetView>
  </sheetViews>
  <sheetFormatPr defaultRowHeight="15" x14ac:dyDescent="0.25"/>
  <cols>
    <col min="1" max="1" width="14.42578125" customWidth="1"/>
    <col min="2" max="2" width="18.5703125" style="4" bestFit="1" customWidth="1"/>
    <col min="3" max="4" width="9.140625" style="4"/>
    <col min="8" max="8" width="11.42578125" customWidth="1"/>
    <col min="17" max="17" width="11.140625" style="4" customWidth="1"/>
  </cols>
  <sheetData>
    <row r="1" spans="1:18" x14ac:dyDescent="0.25">
      <c r="A1" s="215" t="s">
        <v>10</v>
      </c>
      <c r="B1" s="215" t="s">
        <v>11</v>
      </c>
      <c r="C1" s="215" t="s">
        <v>12</v>
      </c>
      <c r="D1" s="215" t="s">
        <v>174</v>
      </c>
      <c r="E1" s="214" t="s">
        <v>13</v>
      </c>
      <c r="F1" s="214"/>
      <c r="G1" s="214"/>
      <c r="H1" s="214"/>
      <c r="I1" s="4"/>
      <c r="J1" s="4"/>
      <c r="K1" s="4"/>
      <c r="L1" s="4"/>
      <c r="M1" s="4"/>
      <c r="N1" s="215" t="s">
        <v>14</v>
      </c>
      <c r="O1" s="214" t="s">
        <v>15</v>
      </c>
      <c r="P1" s="214"/>
      <c r="Q1" s="215" t="s">
        <v>279</v>
      </c>
    </row>
    <row r="2" spans="1:18" x14ac:dyDescent="0.25">
      <c r="A2" s="215"/>
      <c r="B2" s="215"/>
      <c r="C2" s="215"/>
      <c r="D2" s="215"/>
      <c r="E2" s="214" t="s">
        <v>16</v>
      </c>
      <c r="F2" s="214"/>
      <c r="G2" s="4"/>
      <c r="H2" s="4"/>
      <c r="I2" s="214" t="s">
        <v>17</v>
      </c>
      <c r="J2" s="214"/>
      <c r="K2" s="214"/>
      <c r="L2" s="214" t="s">
        <v>18</v>
      </c>
      <c r="M2" s="214"/>
      <c r="N2" s="215"/>
      <c r="O2" s="214" t="s">
        <v>19</v>
      </c>
      <c r="P2" s="214"/>
      <c r="Q2" s="215"/>
    </row>
    <row r="3" spans="1:18" s="3" customFormat="1" ht="30" x14ac:dyDescent="0.25">
      <c r="A3" s="215"/>
      <c r="B3" s="215"/>
      <c r="C3" s="215"/>
      <c r="D3" s="215"/>
      <c r="E3" s="4" t="s">
        <v>20</v>
      </c>
      <c r="F3" s="4" t="s">
        <v>21</v>
      </c>
      <c r="G3" s="5" t="s">
        <v>22</v>
      </c>
      <c r="H3" s="5" t="s">
        <v>23</v>
      </c>
      <c r="I3" s="4" t="s">
        <v>24</v>
      </c>
      <c r="J3" s="4" t="s">
        <v>21</v>
      </c>
      <c r="K3" s="4" t="s">
        <v>25</v>
      </c>
      <c r="L3" s="4" t="s">
        <v>24</v>
      </c>
      <c r="M3" s="4" t="s">
        <v>21</v>
      </c>
      <c r="N3" s="215"/>
      <c r="O3" s="5" t="s">
        <v>26</v>
      </c>
      <c r="P3" s="5" t="s">
        <v>27</v>
      </c>
      <c r="Q3" s="215"/>
      <c r="R3" s="198" t="s">
        <v>1292</v>
      </c>
    </row>
    <row r="4" spans="1:18" x14ac:dyDescent="0.25">
      <c r="A4" t="s">
        <v>28</v>
      </c>
      <c r="B4" s="6">
        <v>6</v>
      </c>
      <c r="C4" s="6" t="s">
        <v>29</v>
      </c>
      <c r="D4" s="6" t="s">
        <v>30</v>
      </c>
      <c r="E4">
        <v>6.6100000000000006E-2</v>
      </c>
      <c r="F4">
        <v>6.6100000000000006E-2</v>
      </c>
      <c r="G4">
        <v>6.6100000000000006E-2</v>
      </c>
      <c r="H4">
        <v>0.19800000000000001</v>
      </c>
      <c r="I4">
        <v>24</v>
      </c>
      <c r="J4">
        <v>12</v>
      </c>
      <c r="K4">
        <v>36</v>
      </c>
      <c r="L4">
        <v>67.88</v>
      </c>
      <c r="M4">
        <v>32.119999999999997</v>
      </c>
      <c r="N4">
        <v>1190</v>
      </c>
      <c r="O4">
        <v>0.64100000000000001</v>
      </c>
      <c r="P4">
        <v>0.80600000000000005</v>
      </c>
      <c r="Q4" s="4">
        <v>105</v>
      </c>
      <c r="R4" t="str">
        <f t="shared" ref="R4:R67" si="0">IF(ISNA(VLOOKUP(A4,x,4,FALSE)),"",VLOOKUP(A4,x,4,FALSE))</f>
        <v/>
      </c>
    </row>
    <row r="5" spans="1:18" x14ac:dyDescent="0.25">
      <c r="A5" t="s">
        <v>31</v>
      </c>
      <c r="B5" s="6">
        <v>4</v>
      </c>
      <c r="C5" s="6" t="s">
        <v>29</v>
      </c>
      <c r="D5" s="6" t="s">
        <v>30</v>
      </c>
      <c r="E5">
        <v>8.3400000000000002E-2</v>
      </c>
      <c r="F5">
        <v>8.3400000000000002E-2</v>
      </c>
      <c r="G5">
        <v>8.3400000000000002E-2</v>
      </c>
      <c r="H5">
        <v>0.25</v>
      </c>
      <c r="I5">
        <v>39</v>
      </c>
      <c r="J5">
        <v>18</v>
      </c>
      <c r="K5">
        <v>57</v>
      </c>
      <c r="L5">
        <v>67.87</v>
      </c>
      <c r="M5">
        <v>32.119999999999997</v>
      </c>
      <c r="N5">
        <v>1860</v>
      </c>
      <c r="O5">
        <v>0.40300000000000002</v>
      </c>
      <c r="P5">
        <v>0.51500000000000001</v>
      </c>
      <c r="Q5" s="4">
        <v>140</v>
      </c>
      <c r="R5" t="str">
        <f t="shared" si="0"/>
        <v/>
      </c>
    </row>
    <row r="6" spans="1:18" x14ac:dyDescent="0.25">
      <c r="A6" t="s">
        <v>32</v>
      </c>
      <c r="B6" s="6">
        <v>4</v>
      </c>
      <c r="C6" s="6" t="s">
        <v>33</v>
      </c>
      <c r="D6" s="6" t="s">
        <v>30</v>
      </c>
      <c r="E6">
        <v>7.7200000000000005E-2</v>
      </c>
      <c r="F6">
        <v>0.10299999999999999</v>
      </c>
      <c r="G6">
        <v>0.10299999999999999</v>
      </c>
      <c r="H6">
        <v>0.25700000000000001</v>
      </c>
      <c r="I6">
        <v>39</v>
      </c>
      <c r="J6">
        <v>28</v>
      </c>
      <c r="K6">
        <v>67</v>
      </c>
      <c r="L6">
        <v>58.1</v>
      </c>
      <c r="M6">
        <v>41.9</v>
      </c>
      <c r="N6">
        <v>2360</v>
      </c>
      <c r="O6">
        <v>0.39900000000000002</v>
      </c>
      <c r="P6">
        <v>0.51900000000000002</v>
      </c>
      <c r="Q6" s="4">
        <v>140</v>
      </c>
      <c r="R6" t="str">
        <f t="shared" si="0"/>
        <v/>
      </c>
    </row>
    <row r="7" spans="1:18" x14ac:dyDescent="0.25">
      <c r="A7" t="s">
        <v>34</v>
      </c>
      <c r="B7" s="6">
        <v>2</v>
      </c>
      <c r="C7" s="6" t="s">
        <v>29</v>
      </c>
      <c r="D7" s="6" t="s">
        <v>30</v>
      </c>
      <c r="E7">
        <v>0.1052</v>
      </c>
      <c r="F7">
        <v>0.1052</v>
      </c>
      <c r="G7">
        <v>0.1052</v>
      </c>
      <c r="H7">
        <v>0.316</v>
      </c>
      <c r="I7">
        <v>62</v>
      </c>
      <c r="J7">
        <v>29</v>
      </c>
      <c r="K7">
        <v>91</v>
      </c>
      <c r="L7">
        <v>67.900000000000006</v>
      </c>
      <c r="M7">
        <v>32.1</v>
      </c>
      <c r="N7">
        <v>2850</v>
      </c>
      <c r="O7">
        <v>0.254</v>
      </c>
      <c r="P7">
        <v>0.33200000000000002</v>
      </c>
      <c r="Q7" s="4">
        <v>184</v>
      </c>
      <c r="R7" t="str">
        <f t="shared" si="0"/>
        <v/>
      </c>
    </row>
    <row r="8" spans="1:18" x14ac:dyDescent="0.25">
      <c r="A8" t="s">
        <v>35</v>
      </c>
      <c r="B8" s="6">
        <v>2</v>
      </c>
      <c r="C8" s="6" t="s">
        <v>33</v>
      </c>
      <c r="D8" s="6" t="s">
        <v>30</v>
      </c>
      <c r="E8">
        <v>9.74E-2</v>
      </c>
      <c r="F8">
        <v>0.1298</v>
      </c>
      <c r="G8">
        <v>0.1298</v>
      </c>
      <c r="H8">
        <v>0.32500000000000001</v>
      </c>
      <c r="I8">
        <v>62</v>
      </c>
      <c r="J8">
        <v>45</v>
      </c>
      <c r="K8">
        <v>107</v>
      </c>
      <c r="L8">
        <v>58.12</v>
      </c>
      <c r="M8">
        <v>41.88</v>
      </c>
      <c r="N8">
        <v>3460</v>
      </c>
      <c r="O8">
        <v>0.251</v>
      </c>
      <c r="P8">
        <v>0.33800000000000002</v>
      </c>
      <c r="Q8" s="4">
        <v>184</v>
      </c>
      <c r="R8" t="str">
        <f t="shared" si="0"/>
        <v/>
      </c>
    </row>
    <row r="9" spans="1:18" x14ac:dyDescent="0.25">
      <c r="A9" t="s">
        <v>36</v>
      </c>
      <c r="B9" s="6">
        <v>1</v>
      </c>
      <c r="C9" s="6" t="s">
        <v>29</v>
      </c>
      <c r="D9" s="6" t="s">
        <v>30</v>
      </c>
      <c r="E9">
        <v>0.1181</v>
      </c>
      <c r="F9">
        <v>0.1181</v>
      </c>
      <c r="G9">
        <v>0.1181</v>
      </c>
      <c r="H9">
        <v>0.35399999999999998</v>
      </c>
      <c r="I9">
        <v>78</v>
      </c>
      <c r="J9">
        <v>37</v>
      </c>
      <c r="K9">
        <v>115</v>
      </c>
      <c r="L9">
        <v>67.88</v>
      </c>
      <c r="M9">
        <v>32.119999999999997</v>
      </c>
      <c r="N9">
        <v>3550</v>
      </c>
      <c r="O9">
        <v>0.20100000000000001</v>
      </c>
      <c r="P9">
        <v>0.26800000000000002</v>
      </c>
      <c r="Q9" s="4">
        <v>212</v>
      </c>
      <c r="R9" t="str">
        <f t="shared" si="0"/>
        <v/>
      </c>
    </row>
    <row r="10" spans="1:18" x14ac:dyDescent="0.25">
      <c r="A10" t="s">
        <v>37</v>
      </c>
      <c r="B10" s="6" t="s">
        <v>38</v>
      </c>
      <c r="C10" s="6" t="s">
        <v>29</v>
      </c>
      <c r="D10" s="6" t="s">
        <v>30</v>
      </c>
      <c r="E10">
        <v>0.13270000000000001</v>
      </c>
      <c r="F10">
        <v>0.13270000000000001</v>
      </c>
      <c r="G10">
        <v>0.13270000000000001</v>
      </c>
      <c r="H10">
        <v>0.39800000000000002</v>
      </c>
      <c r="I10">
        <v>99</v>
      </c>
      <c r="J10">
        <v>47</v>
      </c>
      <c r="K10">
        <v>145</v>
      </c>
      <c r="L10">
        <v>67.89</v>
      </c>
      <c r="M10">
        <v>32.11</v>
      </c>
      <c r="N10">
        <v>4380</v>
      </c>
      <c r="O10">
        <v>0.159</v>
      </c>
      <c r="P10">
        <v>0.217</v>
      </c>
      <c r="Q10" s="4">
        <v>242</v>
      </c>
      <c r="R10" t="str">
        <f t="shared" si="0"/>
        <v/>
      </c>
    </row>
    <row r="11" spans="1:18" x14ac:dyDescent="0.25">
      <c r="A11" t="s">
        <v>39</v>
      </c>
      <c r="B11" s="6" t="s">
        <v>40</v>
      </c>
      <c r="C11" s="6" t="s">
        <v>29</v>
      </c>
      <c r="D11" s="6" t="s">
        <v>30</v>
      </c>
      <c r="E11">
        <v>0.1489</v>
      </c>
      <c r="F11">
        <v>0.1489</v>
      </c>
      <c r="G11">
        <v>0.1489</v>
      </c>
      <c r="H11">
        <v>0.44700000000000001</v>
      </c>
      <c r="I11">
        <v>124</v>
      </c>
      <c r="J11">
        <v>59</v>
      </c>
      <c r="K11">
        <v>183</v>
      </c>
      <c r="L11">
        <v>67.88</v>
      </c>
      <c r="M11">
        <v>32.119999999999997</v>
      </c>
      <c r="N11">
        <v>5310</v>
      </c>
      <c r="O11">
        <v>0.126</v>
      </c>
      <c r="P11">
        <v>0.17599999999999999</v>
      </c>
      <c r="Q11" s="4">
        <v>276</v>
      </c>
      <c r="R11" t="str">
        <f t="shared" si="0"/>
        <v/>
      </c>
    </row>
    <row r="12" spans="1:18" x14ac:dyDescent="0.25">
      <c r="A12" t="s">
        <v>41</v>
      </c>
      <c r="B12" s="6" t="s">
        <v>42</v>
      </c>
      <c r="C12" s="6" t="s">
        <v>29</v>
      </c>
      <c r="D12" s="6" t="s">
        <v>30</v>
      </c>
      <c r="E12">
        <v>0.16719999999999999</v>
      </c>
      <c r="F12">
        <v>0.16719999999999999</v>
      </c>
      <c r="G12">
        <v>0.16719999999999999</v>
      </c>
      <c r="H12">
        <v>0.502</v>
      </c>
      <c r="I12">
        <v>156</v>
      </c>
      <c r="J12">
        <v>74</v>
      </c>
      <c r="K12">
        <v>230</v>
      </c>
      <c r="L12">
        <v>67.87</v>
      </c>
      <c r="M12">
        <v>32.130000000000003</v>
      </c>
      <c r="N12">
        <v>6620</v>
      </c>
      <c r="O12">
        <v>0.1</v>
      </c>
      <c r="P12">
        <v>0.14399999999999999</v>
      </c>
      <c r="Q12" s="4">
        <v>315</v>
      </c>
      <c r="R12" t="str">
        <f t="shared" si="0"/>
        <v/>
      </c>
    </row>
    <row r="13" spans="1:18" x14ac:dyDescent="0.25">
      <c r="A13" t="s">
        <v>43</v>
      </c>
      <c r="B13" s="6" t="s">
        <v>44</v>
      </c>
      <c r="C13" s="6" t="s">
        <v>29</v>
      </c>
      <c r="D13" s="6" t="s">
        <v>30</v>
      </c>
      <c r="E13">
        <v>0.18779999999999999</v>
      </c>
      <c r="F13">
        <v>0.18779999999999999</v>
      </c>
      <c r="G13">
        <v>0.18779999999999999</v>
      </c>
      <c r="H13">
        <v>0.56299999999999994</v>
      </c>
      <c r="I13">
        <v>197</v>
      </c>
      <c r="J13">
        <v>93</v>
      </c>
      <c r="K13">
        <v>291</v>
      </c>
      <c r="L13">
        <v>67.89</v>
      </c>
      <c r="M13">
        <v>32.119999999999997</v>
      </c>
      <c r="N13">
        <v>8350</v>
      </c>
      <c r="O13">
        <v>7.9500000000000001E-2</v>
      </c>
      <c r="P13">
        <v>0.11899999999999999</v>
      </c>
      <c r="Q13" s="4">
        <v>357</v>
      </c>
      <c r="R13" t="str">
        <f t="shared" si="0"/>
        <v/>
      </c>
    </row>
    <row r="14" spans="1:18" x14ac:dyDescent="0.25">
      <c r="A14" t="s">
        <v>45</v>
      </c>
      <c r="B14" s="6">
        <v>266.8</v>
      </c>
      <c r="C14" s="6" t="s">
        <v>46</v>
      </c>
      <c r="D14" s="6" t="s">
        <v>30</v>
      </c>
      <c r="E14">
        <v>0.1217</v>
      </c>
      <c r="F14">
        <v>0.1217</v>
      </c>
      <c r="G14">
        <v>0.1217</v>
      </c>
      <c r="H14">
        <v>0.60899999999999999</v>
      </c>
      <c r="I14">
        <v>250</v>
      </c>
      <c r="J14">
        <v>39</v>
      </c>
      <c r="K14">
        <v>289</v>
      </c>
      <c r="L14">
        <v>86.43</v>
      </c>
      <c r="M14">
        <v>13.57</v>
      </c>
      <c r="N14">
        <v>6880</v>
      </c>
      <c r="O14">
        <v>6.4299999999999996E-2</v>
      </c>
      <c r="P14">
        <v>7.8700000000000006E-2</v>
      </c>
      <c r="Q14" s="4">
        <v>449</v>
      </c>
      <c r="R14">
        <f t="shared" si="0"/>
        <v>1.9699999999999999E-2</v>
      </c>
    </row>
    <row r="15" spans="1:18" x14ac:dyDescent="0.25">
      <c r="A15" t="s">
        <v>47</v>
      </c>
      <c r="B15" s="6">
        <v>266.8</v>
      </c>
      <c r="C15" s="6" t="s">
        <v>48</v>
      </c>
      <c r="D15" s="6" t="s">
        <v>30</v>
      </c>
      <c r="E15">
        <v>0.1013</v>
      </c>
      <c r="F15">
        <v>7.8799999999999995E-2</v>
      </c>
      <c r="G15">
        <v>0.23630000000000001</v>
      </c>
      <c r="H15">
        <v>0.64200000000000002</v>
      </c>
      <c r="I15">
        <v>251</v>
      </c>
      <c r="J15">
        <v>115</v>
      </c>
      <c r="K15">
        <v>367</v>
      </c>
      <c r="L15">
        <v>68.510000000000005</v>
      </c>
      <c r="M15">
        <v>31.49</v>
      </c>
      <c r="N15">
        <v>11300</v>
      </c>
      <c r="O15">
        <v>6.3700000000000007E-2</v>
      </c>
      <c r="P15">
        <v>7.7899999999999997E-2</v>
      </c>
      <c r="Q15" s="4">
        <v>475</v>
      </c>
      <c r="R15">
        <f t="shared" si="0"/>
        <v>2.1700000000000001E-2</v>
      </c>
    </row>
    <row r="16" spans="1:18" x14ac:dyDescent="0.25">
      <c r="A16" t="s">
        <v>49</v>
      </c>
      <c r="B16" s="6">
        <v>300</v>
      </c>
      <c r="C16" s="6" t="s">
        <v>48</v>
      </c>
      <c r="D16" s="6" t="s">
        <v>30</v>
      </c>
      <c r="E16">
        <v>0.1074</v>
      </c>
      <c r="F16">
        <v>8.3500000000000005E-2</v>
      </c>
      <c r="G16">
        <v>0.25059999999999999</v>
      </c>
      <c r="H16">
        <v>0.68</v>
      </c>
      <c r="I16">
        <v>283</v>
      </c>
      <c r="J16">
        <v>130</v>
      </c>
      <c r="K16">
        <v>412</v>
      </c>
      <c r="L16">
        <v>68.510000000000005</v>
      </c>
      <c r="M16">
        <v>31.49</v>
      </c>
      <c r="N16">
        <v>12700</v>
      </c>
      <c r="O16">
        <v>5.67E-2</v>
      </c>
      <c r="P16">
        <v>6.93E-2</v>
      </c>
      <c r="Q16" s="4">
        <v>492</v>
      </c>
      <c r="R16" t="str">
        <f t="shared" si="0"/>
        <v/>
      </c>
    </row>
    <row r="17" spans="1:18" x14ac:dyDescent="0.25">
      <c r="A17" t="s">
        <v>50</v>
      </c>
      <c r="B17" s="6">
        <v>336.4</v>
      </c>
      <c r="C17" s="6" t="s">
        <v>46</v>
      </c>
      <c r="D17" s="6" t="s">
        <v>30</v>
      </c>
      <c r="E17">
        <v>0.13669999999999999</v>
      </c>
      <c r="F17">
        <v>0.13669999999999999</v>
      </c>
      <c r="G17">
        <v>0.13669999999999999</v>
      </c>
      <c r="H17">
        <v>0.68400000000000005</v>
      </c>
      <c r="I17">
        <v>315</v>
      </c>
      <c r="J17">
        <v>49</v>
      </c>
      <c r="K17">
        <v>365</v>
      </c>
      <c r="L17">
        <v>86.43</v>
      </c>
      <c r="M17">
        <v>13.57</v>
      </c>
      <c r="N17">
        <v>8680</v>
      </c>
      <c r="O17">
        <v>5.0999999999999997E-2</v>
      </c>
      <c r="P17">
        <v>6.25E-2</v>
      </c>
      <c r="Q17" s="4">
        <v>519</v>
      </c>
      <c r="R17">
        <f t="shared" si="0"/>
        <v>2.2100000000000002E-2</v>
      </c>
    </row>
    <row r="18" spans="1:18" x14ac:dyDescent="0.25">
      <c r="A18" t="s">
        <v>51</v>
      </c>
      <c r="B18" s="6">
        <v>336.4</v>
      </c>
      <c r="C18" s="6" t="s">
        <v>48</v>
      </c>
      <c r="D18" s="6" t="s">
        <v>30</v>
      </c>
      <c r="E18">
        <v>0.1137</v>
      </c>
      <c r="F18">
        <v>8.8499999999999995E-2</v>
      </c>
      <c r="G18">
        <v>0.26540000000000002</v>
      </c>
      <c r="H18">
        <v>0.72</v>
      </c>
      <c r="I18">
        <v>317</v>
      </c>
      <c r="J18">
        <v>146</v>
      </c>
      <c r="K18">
        <v>462</v>
      </c>
      <c r="L18">
        <v>68.510000000000005</v>
      </c>
      <c r="M18">
        <v>31.49</v>
      </c>
      <c r="N18">
        <v>14100</v>
      </c>
      <c r="O18">
        <v>5.0500000000000003E-2</v>
      </c>
      <c r="P18">
        <v>6.1800000000000001E-2</v>
      </c>
      <c r="Q18" s="4">
        <v>529</v>
      </c>
      <c r="R18">
        <f t="shared" si="0"/>
        <v>2.4400000000000002E-2</v>
      </c>
    </row>
    <row r="19" spans="1:18" x14ac:dyDescent="0.25">
      <c r="A19" t="s">
        <v>52</v>
      </c>
      <c r="B19" s="6">
        <v>336.4</v>
      </c>
      <c r="C19" s="6" t="s">
        <v>53</v>
      </c>
      <c r="D19" s="6" t="s">
        <v>30</v>
      </c>
      <c r="E19">
        <v>0.10589999999999999</v>
      </c>
      <c r="F19">
        <v>0.10589999999999999</v>
      </c>
      <c r="G19">
        <v>0.31769999999999998</v>
      </c>
      <c r="H19">
        <v>0.74099999999999999</v>
      </c>
      <c r="I19">
        <v>318</v>
      </c>
      <c r="J19">
        <v>209</v>
      </c>
      <c r="K19">
        <v>526</v>
      </c>
      <c r="L19">
        <v>60.35</v>
      </c>
      <c r="M19">
        <v>39.65</v>
      </c>
      <c r="N19">
        <v>17300</v>
      </c>
      <c r="O19">
        <v>5.0200000000000002E-2</v>
      </c>
      <c r="P19">
        <v>6.13E-2</v>
      </c>
      <c r="Q19" s="4">
        <v>535</v>
      </c>
      <c r="R19">
        <f t="shared" si="0"/>
        <v>2.5499999999999998E-2</v>
      </c>
    </row>
    <row r="20" spans="1:18" x14ac:dyDescent="0.25">
      <c r="A20" t="s">
        <v>54</v>
      </c>
      <c r="B20" s="6">
        <v>397.5</v>
      </c>
      <c r="C20" s="6" t="s">
        <v>46</v>
      </c>
      <c r="D20" s="6" t="s">
        <v>30</v>
      </c>
      <c r="E20">
        <v>0.14860000000000001</v>
      </c>
      <c r="F20">
        <v>0.14860000000000001</v>
      </c>
      <c r="G20">
        <v>0.14860000000000001</v>
      </c>
      <c r="H20">
        <v>0.74299999999999999</v>
      </c>
      <c r="I20">
        <v>373</v>
      </c>
      <c r="J20">
        <v>58</v>
      </c>
      <c r="K20">
        <v>431</v>
      </c>
      <c r="L20">
        <v>86.43</v>
      </c>
      <c r="M20">
        <v>13.57</v>
      </c>
      <c r="N20">
        <v>9940</v>
      </c>
      <c r="O20">
        <v>4.3200000000000002E-2</v>
      </c>
      <c r="P20">
        <v>5.2900000000000003E-2</v>
      </c>
      <c r="Q20" s="4">
        <v>576</v>
      </c>
      <c r="R20">
        <f t="shared" si="0"/>
        <v>2.4E-2</v>
      </c>
    </row>
    <row r="21" spans="1:18" x14ac:dyDescent="0.25">
      <c r="A21" t="s">
        <v>55</v>
      </c>
      <c r="B21" s="6">
        <v>397.5</v>
      </c>
      <c r="C21" s="6" t="s">
        <v>56</v>
      </c>
      <c r="D21" s="6" t="s">
        <v>30</v>
      </c>
      <c r="E21">
        <v>0.12870000000000001</v>
      </c>
      <c r="F21">
        <v>8.5800000000000001E-2</v>
      </c>
      <c r="G21">
        <v>0.25740000000000002</v>
      </c>
      <c r="H21">
        <v>0.77200000000000002</v>
      </c>
      <c r="I21">
        <v>374</v>
      </c>
      <c r="J21">
        <v>137</v>
      </c>
      <c r="K21">
        <v>511</v>
      </c>
      <c r="L21">
        <v>73.209999999999994</v>
      </c>
      <c r="M21">
        <v>26.79</v>
      </c>
      <c r="N21">
        <v>14600</v>
      </c>
      <c r="O21">
        <v>4.2999999999999997E-2</v>
      </c>
      <c r="P21">
        <v>5.2600000000000001E-2</v>
      </c>
      <c r="Q21" s="4">
        <v>584</v>
      </c>
      <c r="R21" t="str">
        <f t="shared" si="0"/>
        <v/>
      </c>
    </row>
    <row r="22" spans="1:18" x14ac:dyDescent="0.25">
      <c r="A22" t="s">
        <v>57</v>
      </c>
      <c r="B22" s="6">
        <v>397.5</v>
      </c>
      <c r="C22" s="6" t="s">
        <v>48</v>
      </c>
      <c r="D22" s="6" t="s">
        <v>30</v>
      </c>
      <c r="E22">
        <v>0.1236</v>
      </c>
      <c r="F22">
        <v>9.6199999999999994E-2</v>
      </c>
      <c r="G22">
        <v>0.28849999999999998</v>
      </c>
      <c r="H22">
        <v>0.78300000000000003</v>
      </c>
      <c r="I22">
        <v>374</v>
      </c>
      <c r="J22">
        <v>172</v>
      </c>
      <c r="K22">
        <v>546</v>
      </c>
      <c r="L22">
        <v>68.510000000000005</v>
      </c>
      <c r="M22">
        <v>31.49</v>
      </c>
      <c r="N22">
        <v>16300</v>
      </c>
      <c r="O22">
        <v>4.2799999999999998E-2</v>
      </c>
      <c r="P22">
        <v>5.2299999999999999E-2</v>
      </c>
      <c r="Q22" s="4">
        <v>587</v>
      </c>
      <c r="R22">
        <f t="shared" si="0"/>
        <v>2.6499999999999999E-2</v>
      </c>
    </row>
    <row r="23" spans="1:18" x14ac:dyDescent="0.25">
      <c r="A23" t="s">
        <v>58</v>
      </c>
      <c r="B23" s="6">
        <v>397.5</v>
      </c>
      <c r="C23" s="6" t="s">
        <v>53</v>
      </c>
      <c r="D23" s="6" t="s">
        <v>30</v>
      </c>
      <c r="E23">
        <v>0.11509999999999999</v>
      </c>
      <c r="F23">
        <v>0.11509999999999999</v>
      </c>
      <c r="G23">
        <v>0.3453</v>
      </c>
      <c r="H23">
        <v>0.80600000000000005</v>
      </c>
      <c r="I23">
        <v>375</v>
      </c>
      <c r="J23">
        <v>247</v>
      </c>
      <c r="K23">
        <v>622</v>
      </c>
      <c r="L23">
        <v>60.35</v>
      </c>
      <c r="M23">
        <v>39.65</v>
      </c>
      <c r="N23">
        <v>20300</v>
      </c>
      <c r="O23">
        <v>4.2500000000000003E-2</v>
      </c>
      <c r="P23">
        <v>5.1900000000000002E-2</v>
      </c>
      <c r="Q23" s="4">
        <v>594</v>
      </c>
      <c r="R23">
        <f t="shared" si="0"/>
        <v>2.7699999999999999E-2</v>
      </c>
    </row>
    <row r="24" spans="1:18" x14ac:dyDescent="0.25">
      <c r="A24" t="s">
        <v>59</v>
      </c>
      <c r="B24" s="6">
        <v>477</v>
      </c>
      <c r="C24" s="6" t="s">
        <v>46</v>
      </c>
      <c r="D24" s="6" t="s">
        <v>30</v>
      </c>
      <c r="E24">
        <v>0.1628</v>
      </c>
      <c r="F24">
        <v>0.1628</v>
      </c>
      <c r="G24">
        <v>0.1628</v>
      </c>
      <c r="H24">
        <v>0.81399999999999995</v>
      </c>
      <c r="I24">
        <v>447</v>
      </c>
      <c r="J24">
        <v>70</v>
      </c>
      <c r="K24">
        <v>517</v>
      </c>
      <c r="L24">
        <v>86.44</v>
      </c>
      <c r="M24">
        <v>13.56</v>
      </c>
      <c r="N24">
        <v>11800</v>
      </c>
      <c r="O24">
        <v>3.5999999999999997E-2</v>
      </c>
      <c r="P24">
        <v>4.4200000000000003E-2</v>
      </c>
      <c r="Q24" s="4">
        <v>646</v>
      </c>
      <c r="R24">
        <f t="shared" si="0"/>
        <v>2.63E-2</v>
      </c>
    </row>
    <row r="25" spans="1:18" x14ac:dyDescent="0.25">
      <c r="A25" t="s">
        <v>60</v>
      </c>
      <c r="B25" s="6">
        <v>477</v>
      </c>
      <c r="C25" s="6" t="s">
        <v>56</v>
      </c>
      <c r="D25" s="6" t="s">
        <v>30</v>
      </c>
      <c r="E25">
        <v>0.14099999999999999</v>
      </c>
      <c r="F25">
        <v>9.4E-2</v>
      </c>
      <c r="G25">
        <v>0.28189999999999998</v>
      </c>
      <c r="H25">
        <v>0.84599999999999997</v>
      </c>
      <c r="I25">
        <v>449</v>
      </c>
      <c r="J25">
        <v>164</v>
      </c>
      <c r="K25">
        <v>614</v>
      </c>
      <c r="L25">
        <v>73.209999999999994</v>
      </c>
      <c r="M25">
        <v>26.79</v>
      </c>
      <c r="N25">
        <v>17200</v>
      </c>
      <c r="O25">
        <v>3.5799999999999998E-2</v>
      </c>
      <c r="P25">
        <v>4.3900000000000002E-2</v>
      </c>
      <c r="Q25" s="4">
        <v>655</v>
      </c>
      <c r="R25">
        <f t="shared" si="0"/>
        <v>2.8299999999999999E-2</v>
      </c>
    </row>
    <row r="26" spans="1:18" x14ac:dyDescent="0.25">
      <c r="A26" t="s">
        <v>61</v>
      </c>
      <c r="B26" s="6">
        <v>477</v>
      </c>
      <c r="C26" s="6" t="s">
        <v>48</v>
      </c>
      <c r="D26" s="6" t="s">
        <v>30</v>
      </c>
      <c r="E26">
        <v>0.13539999999999999</v>
      </c>
      <c r="F26">
        <v>0.1053</v>
      </c>
      <c r="G26">
        <v>0.316</v>
      </c>
      <c r="H26">
        <v>0.85799999999999998</v>
      </c>
      <c r="I26">
        <v>449</v>
      </c>
      <c r="J26">
        <v>207</v>
      </c>
      <c r="K26">
        <v>656</v>
      </c>
      <c r="L26">
        <v>68.510000000000005</v>
      </c>
      <c r="M26">
        <v>31.49</v>
      </c>
      <c r="N26">
        <v>19500</v>
      </c>
      <c r="O26">
        <v>3.56E-2</v>
      </c>
      <c r="P26">
        <v>4.36E-2</v>
      </c>
      <c r="Q26" s="4">
        <v>659</v>
      </c>
      <c r="R26">
        <f t="shared" si="0"/>
        <v>2.9000000000000001E-2</v>
      </c>
    </row>
    <row r="27" spans="1:18" x14ac:dyDescent="0.25">
      <c r="A27" t="s">
        <v>62</v>
      </c>
      <c r="B27" s="6">
        <v>477</v>
      </c>
      <c r="C27" s="6" t="s">
        <v>53</v>
      </c>
      <c r="D27" s="6" t="s">
        <v>30</v>
      </c>
      <c r="E27">
        <v>0.12609999999999999</v>
      </c>
      <c r="F27">
        <v>0.12609999999999999</v>
      </c>
      <c r="G27">
        <v>0.37830000000000003</v>
      </c>
      <c r="H27">
        <v>0.88300000000000001</v>
      </c>
      <c r="I27">
        <v>450</v>
      </c>
      <c r="J27">
        <v>296</v>
      </c>
      <c r="K27">
        <v>746</v>
      </c>
      <c r="L27">
        <v>60.35</v>
      </c>
      <c r="M27">
        <v>39.65</v>
      </c>
      <c r="N27">
        <v>23800</v>
      </c>
      <c r="O27">
        <v>3.5400000000000001E-2</v>
      </c>
      <c r="P27">
        <v>4.3299999999999998E-2</v>
      </c>
      <c r="Q27" s="4">
        <v>666</v>
      </c>
      <c r="R27">
        <f t="shared" si="0"/>
        <v>3.04E-2</v>
      </c>
    </row>
    <row r="28" spans="1:18" x14ac:dyDescent="0.25">
      <c r="A28" t="s">
        <v>63</v>
      </c>
      <c r="B28" s="6">
        <v>556.5</v>
      </c>
      <c r="C28" s="6" t="s">
        <v>46</v>
      </c>
      <c r="D28" s="6" t="s">
        <v>30</v>
      </c>
      <c r="E28">
        <v>0.17580000000000001</v>
      </c>
      <c r="F28">
        <v>0.17580000000000001</v>
      </c>
      <c r="G28">
        <v>0.17580000000000001</v>
      </c>
      <c r="H28">
        <v>0.879</v>
      </c>
      <c r="I28">
        <v>522</v>
      </c>
      <c r="J28">
        <v>82</v>
      </c>
      <c r="K28">
        <v>603</v>
      </c>
      <c r="L28">
        <v>86.43</v>
      </c>
      <c r="M28">
        <v>13.57</v>
      </c>
      <c r="N28">
        <v>13700</v>
      </c>
      <c r="O28">
        <v>3.0800000000000001E-2</v>
      </c>
      <c r="P28">
        <v>3.7900000000000003E-2</v>
      </c>
      <c r="Q28" s="4">
        <v>711</v>
      </c>
      <c r="R28">
        <f t="shared" si="0"/>
        <v>2.8400000000000002E-2</v>
      </c>
    </row>
    <row r="29" spans="1:18" x14ac:dyDescent="0.25">
      <c r="A29" t="s">
        <v>64</v>
      </c>
      <c r="B29" s="6">
        <v>556.5</v>
      </c>
      <c r="C29" s="6" t="s">
        <v>56</v>
      </c>
      <c r="D29" s="6" t="s">
        <v>30</v>
      </c>
      <c r="E29">
        <v>0.15229999999999999</v>
      </c>
      <c r="F29">
        <v>0.10150000000000001</v>
      </c>
      <c r="G29">
        <v>0.30449999999999999</v>
      </c>
      <c r="H29">
        <v>0.91400000000000003</v>
      </c>
      <c r="I29">
        <v>524</v>
      </c>
      <c r="J29">
        <v>192</v>
      </c>
      <c r="K29">
        <v>716</v>
      </c>
      <c r="L29">
        <v>73.209999999999994</v>
      </c>
      <c r="M29">
        <v>26.79</v>
      </c>
      <c r="N29">
        <v>19800</v>
      </c>
      <c r="O29">
        <v>3.0700000000000002E-2</v>
      </c>
      <c r="P29">
        <v>3.7600000000000001E-2</v>
      </c>
      <c r="Q29" s="4">
        <v>721</v>
      </c>
      <c r="R29">
        <f t="shared" si="0"/>
        <v>3.0599999999999999E-2</v>
      </c>
    </row>
    <row r="30" spans="1:18" x14ac:dyDescent="0.25">
      <c r="A30" t="s">
        <v>65</v>
      </c>
      <c r="B30" s="6">
        <v>556.5</v>
      </c>
      <c r="C30" s="6" t="s">
        <v>48</v>
      </c>
      <c r="D30" s="6" t="s">
        <v>30</v>
      </c>
      <c r="E30">
        <v>0.14630000000000001</v>
      </c>
      <c r="F30">
        <v>0.1138</v>
      </c>
      <c r="G30">
        <v>0.34129999999999999</v>
      </c>
      <c r="H30">
        <v>0.92700000000000005</v>
      </c>
      <c r="I30">
        <v>524</v>
      </c>
      <c r="J30">
        <v>241</v>
      </c>
      <c r="K30">
        <v>765</v>
      </c>
      <c r="L30">
        <v>68.510000000000005</v>
      </c>
      <c r="M30">
        <v>31.49</v>
      </c>
      <c r="N30">
        <v>22600</v>
      </c>
      <c r="O30">
        <v>3.0599999999999999E-2</v>
      </c>
      <c r="P30">
        <v>3.7499999999999999E-2</v>
      </c>
      <c r="Q30" s="4">
        <v>726</v>
      </c>
      <c r="R30">
        <f t="shared" si="0"/>
        <v>3.1300000000000001E-2</v>
      </c>
    </row>
    <row r="31" spans="1:18" x14ac:dyDescent="0.25">
      <c r="A31" t="s">
        <v>66</v>
      </c>
      <c r="B31" s="6">
        <v>556.5</v>
      </c>
      <c r="C31" s="6" t="s">
        <v>53</v>
      </c>
      <c r="D31" s="6" t="s">
        <v>30</v>
      </c>
      <c r="E31">
        <v>0.13619999999999999</v>
      </c>
      <c r="F31">
        <v>0.13619999999999999</v>
      </c>
      <c r="G31">
        <v>0.40860000000000002</v>
      </c>
      <c r="H31">
        <v>0.95299999999999996</v>
      </c>
      <c r="I31">
        <v>525</v>
      </c>
      <c r="J31">
        <v>345</v>
      </c>
      <c r="K31">
        <v>871</v>
      </c>
      <c r="L31">
        <v>60.35</v>
      </c>
      <c r="M31">
        <v>39.65</v>
      </c>
      <c r="N31">
        <v>27800</v>
      </c>
      <c r="O31">
        <v>3.0300000000000001E-2</v>
      </c>
      <c r="P31">
        <v>3.7199999999999997E-2</v>
      </c>
      <c r="Q31" s="4">
        <v>734</v>
      </c>
      <c r="R31">
        <f t="shared" si="0"/>
        <v>3.2800000000000003E-2</v>
      </c>
    </row>
    <row r="32" spans="1:18" x14ac:dyDescent="0.25">
      <c r="A32" t="s">
        <v>67</v>
      </c>
      <c r="B32" s="6">
        <v>605</v>
      </c>
      <c r="C32" s="6" t="s">
        <v>56</v>
      </c>
      <c r="D32" s="6" t="s">
        <v>30</v>
      </c>
      <c r="E32">
        <v>0.1588</v>
      </c>
      <c r="F32">
        <v>0.10589999999999999</v>
      </c>
      <c r="G32">
        <v>0.31769999999999998</v>
      </c>
      <c r="H32">
        <v>0.95299999999999996</v>
      </c>
      <c r="I32">
        <v>570</v>
      </c>
      <c r="J32">
        <v>209</v>
      </c>
      <c r="K32">
        <v>779</v>
      </c>
      <c r="L32">
        <v>73.2</v>
      </c>
      <c r="M32">
        <v>26.8</v>
      </c>
      <c r="N32">
        <v>21600</v>
      </c>
      <c r="O32">
        <v>2.8199999999999999E-2</v>
      </c>
      <c r="P32">
        <v>3.4599999999999999E-2</v>
      </c>
      <c r="Q32" s="4">
        <v>760</v>
      </c>
      <c r="R32">
        <f t="shared" si="0"/>
        <v>3.1899999999999998E-2</v>
      </c>
    </row>
    <row r="33" spans="1:18" x14ac:dyDescent="0.25">
      <c r="A33" t="s">
        <v>68</v>
      </c>
      <c r="B33" s="6">
        <v>605</v>
      </c>
      <c r="C33" s="6" t="s">
        <v>48</v>
      </c>
      <c r="D33" s="6" t="s">
        <v>30</v>
      </c>
      <c r="E33">
        <v>0.1525</v>
      </c>
      <c r="F33">
        <v>0.1186</v>
      </c>
      <c r="G33">
        <v>0.35589999999999999</v>
      </c>
      <c r="H33">
        <v>0.96599999999999997</v>
      </c>
      <c r="I33">
        <v>570</v>
      </c>
      <c r="J33">
        <v>262</v>
      </c>
      <c r="K33">
        <v>832</v>
      </c>
      <c r="L33">
        <v>68.510000000000005</v>
      </c>
      <c r="M33">
        <v>31.49</v>
      </c>
      <c r="N33">
        <v>24300</v>
      </c>
      <c r="O33">
        <v>2.81E-2</v>
      </c>
      <c r="P33">
        <v>3.4500000000000003E-2</v>
      </c>
      <c r="Q33" s="4">
        <v>765</v>
      </c>
      <c r="R33" t="str">
        <f t="shared" si="0"/>
        <v/>
      </c>
    </row>
    <row r="34" spans="1:18" x14ac:dyDescent="0.25">
      <c r="A34" t="s">
        <v>69</v>
      </c>
      <c r="B34" s="6">
        <v>605</v>
      </c>
      <c r="C34" s="6" t="s">
        <v>53</v>
      </c>
      <c r="D34" s="6" t="s">
        <v>30</v>
      </c>
      <c r="E34">
        <v>0.14199999999999999</v>
      </c>
      <c r="F34">
        <v>0.14199999999999999</v>
      </c>
      <c r="G34">
        <v>0.42599999999999999</v>
      </c>
      <c r="H34">
        <v>0.99399999999999999</v>
      </c>
      <c r="I34">
        <v>571</v>
      </c>
      <c r="J34">
        <v>375</v>
      </c>
      <c r="K34">
        <v>946</v>
      </c>
      <c r="L34">
        <v>60.35</v>
      </c>
      <c r="M34">
        <v>39.65</v>
      </c>
      <c r="N34">
        <v>28900</v>
      </c>
      <c r="O34">
        <v>2.7900000000000001E-2</v>
      </c>
      <c r="P34">
        <v>3.4200000000000001E-2</v>
      </c>
      <c r="Q34" s="4">
        <v>774</v>
      </c>
      <c r="R34" t="str">
        <f t="shared" si="0"/>
        <v/>
      </c>
    </row>
    <row r="35" spans="1:18" x14ac:dyDescent="0.25">
      <c r="A35" t="s">
        <v>70</v>
      </c>
      <c r="B35" s="6">
        <v>605</v>
      </c>
      <c r="C35" s="6" t="s">
        <v>71</v>
      </c>
      <c r="D35" s="6" t="s">
        <v>30</v>
      </c>
      <c r="E35">
        <v>0.14199999999999999</v>
      </c>
      <c r="F35">
        <v>8.5199999999999998E-2</v>
      </c>
      <c r="G35">
        <v>0.42599999999999999</v>
      </c>
      <c r="H35">
        <v>0.99399999999999999</v>
      </c>
      <c r="I35">
        <v>571</v>
      </c>
      <c r="J35">
        <v>367</v>
      </c>
      <c r="K35">
        <v>939</v>
      </c>
      <c r="L35">
        <v>60.86</v>
      </c>
      <c r="M35">
        <v>39.14</v>
      </c>
      <c r="N35">
        <v>30000</v>
      </c>
      <c r="O35">
        <v>2.7900000000000001E-2</v>
      </c>
      <c r="P35">
        <v>3.4200000000000001E-2</v>
      </c>
      <c r="Q35" s="4">
        <v>773</v>
      </c>
      <c r="R35" t="str">
        <f t="shared" si="0"/>
        <v/>
      </c>
    </row>
    <row r="36" spans="1:18" x14ac:dyDescent="0.25">
      <c r="A36" t="s">
        <v>72</v>
      </c>
      <c r="B36" s="6">
        <v>636</v>
      </c>
      <c r="C36" s="6" t="s">
        <v>46</v>
      </c>
      <c r="D36" s="6" t="s">
        <v>30</v>
      </c>
      <c r="E36">
        <v>0.188</v>
      </c>
      <c r="F36">
        <v>0.188</v>
      </c>
      <c r="G36">
        <v>0.188</v>
      </c>
      <c r="H36">
        <v>0.94</v>
      </c>
      <c r="I36">
        <v>596</v>
      </c>
      <c r="J36">
        <v>94</v>
      </c>
      <c r="K36">
        <v>690</v>
      </c>
      <c r="L36">
        <v>86.43</v>
      </c>
      <c r="M36">
        <v>13.57</v>
      </c>
      <c r="N36">
        <v>15700</v>
      </c>
      <c r="O36">
        <v>2.7E-2</v>
      </c>
      <c r="P36">
        <v>3.32E-2</v>
      </c>
      <c r="Q36" s="4">
        <v>773</v>
      </c>
      <c r="R36">
        <f t="shared" si="0"/>
        <v>3.0099999999999998E-2</v>
      </c>
    </row>
    <row r="37" spans="1:18" x14ac:dyDescent="0.25">
      <c r="A37" t="s">
        <v>73</v>
      </c>
      <c r="B37" s="6">
        <v>636</v>
      </c>
      <c r="C37" s="6" t="s">
        <v>74</v>
      </c>
      <c r="D37" s="6" t="s">
        <v>30</v>
      </c>
      <c r="E37">
        <v>0.13289999999999999</v>
      </c>
      <c r="F37">
        <v>0.13289999999999999</v>
      </c>
      <c r="G37">
        <v>0.13289999999999999</v>
      </c>
      <c r="H37">
        <v>0.93</v>
      </c>
      <c r="I37">
        <v>596</v>
      </c>
      <c r="J37">
        <v>47</v>
      </c>
      <c r="K37">
        <v>643</v>
      </c>
      <c r="L37">
        <v>92.72</v>
      </c>
      <c r="M37">
        <v>7.28</v>
      </c>
      <c r="N37">
        <v>13690</v>
      </c>
      <c r="O37">
        <v>2.7099999999999999E-2</v>
      </c>
      <c r="P37">
        <v>3.3399999999999999E-2</v>
      </c>
      <c r="Q37" s="4">
        <v>769</v>
      </c>
      <c r="R37">
        <f t="shared" si="0"/>
        <v>0.03</v>
      </c>
    </row>
    <row r="38" spans="1:18" x14ac:dyDescent="0.25">
      <c r="A38" t="s">
        <v>75</v>
      </c>
      <c r="B38" s="6">
        <v>636</v>
      </c>
      <c r="C38" s="6" t="s">
        <v>56</v>
      </c>
      <c r="D38" s="6" t="s">
        <v>30</v>
      </c>
      <c r="E38">
        <v>0.1628</v>
      </c>
      <c r="F38">
        <v>0.1085</v>
      </c>
      <c r="G38">
        <v>0.3256</v>
      </c>
      <c r="H38">
        <v>0.97699999999999998</v>
      </c>
      <c r="I38">
        <v>599</v>
      </c>
      <c r="J38">
        <v>219</v>
      </c>
      <c r="K38">
        <v>818</v>
      </c>
      <c r="L38">
        <v>73.22</v>
      </c>
      <c r="M38">
        <v>26.78</v>
      </c>
      <c r="N38">
        <v>22600</v>
      </c>
      <c r="O38">
        <v>2.6800000000000001E-2</v>
      </c>
      <c r="P38">
        <v>3.3000000000000002E-2</v>
      </c>
      <c r="Q38" s="4">
        <v>784</v>
      </c>
      <c r="R38">
        <f t="shared" si="0"/>
        <v>3.27E-2</v>
      </c>
    </row>
    <row r="39" spans="1:18" x14ac:dyDescent="0.25">
      <c r="A39" t="s">
        <v>76</v>
      </c>
      <c r="B39" s="6">
        <v>636</v>
      </c>
      <c r="C39" s="6" t="s">
        <v>48</v>
      </c>
      <c r="D39" s="6" t="s">
        <v>30</v>
      </c>
      <c r="E39">
        <v>0.15640000000000001</v>
      </c>
      <c r="F39">
        <v>0.1216</v>
      </c>
      <c r="G39">
        <v>0.3649</v>
      </c>
      <c r="H39">
        <v>0.99099999999999999</v>
      </c>
      <c r="I39">
        <v>599</v>
      </c>
      <c r="J39">
        <v>275</v>
      </c>
      <c r="K39">
        <v>874</v>
      </c>
      <c r="L39">
        <v>68.510000000000005</v>
      </c>
      <c r="M39">
        <v>31.49</v>
      </c>
      <c r="N39">
        <v>25200</v>
      </c>
      <c r="O39">
        <v>2.6700000000000002E-2</v>
      </c>
      <c r="P39">
        <v>3.2800000000000003E-2</v>
      </c>
      <c r="Q39" s="4">
        <v>789</v>
      </c>
      <c r="R39">
        <f t="shared" si="0"/>
        <v>3.3500000000000002E-2</v>
      </c>
    </row>
    <row r="40" spans="1:18" x14ac:dyDescent="0.25">
      <c r="A40" t="s">
        <v>77</v>
      </c>
      <c r="B40" s="4">
        <v>636</v>
      </c>
      <c r="C40" s="4" t="s">
        <v>53</v>
      </c>
      <c r="D40" s="6" t="s">
        <v>30</v>
      </c>
      <c r="E40">
        <v>0.14560000000000001</v>
      </c>
      <c r="F40">
        <v>0.14560000000000001</v>
      </c>
      <c r="G40">
        <v>0.43680000000000002</v>
      </c>
      <c r="H40">
        <v>1.0189999999999999</v>
      </c>
      <c r="I40">
        <v>600</v>
      </c>
      <c r="J40">
        <v>395</v>
      </c>
      <c r="K40">
        <v>995</v>
      </c>
      <c r="L40">
        <v>60.35</v>
      </c>
      <c r="M40">
        <v>39.65</v>
      </c>
      <c r="N40">
        <v>30400</v>
      </c>
      <c r="O40">
        <v>2.5600000000000001E-2</v>
      </c>
      <c r="P40">
        <v>3.2500000000000001E-2</v>
      </c>
      <c r="Q40" s="4">
        <v>798</v>
      </c>
      <c r="R40" t="str">
        <f t="shared" si="0"/>
        <v/>
      </c>
    </row>
    <row r="41" spans="1:18" x14ac:dyDescent="0.25">
      <c r="A41" t="s">
        <v>78</v>
      </c>
      <c r="B41" s="4">
        <v>636</v>
      </c>
      <c r="C41" s="4" t="s">
        <v>71</v>
      </c>
      <c r="D41" s="6" t="s">
        <v>30</v>
      </c>
      <c r="E41">
        <v>0.14560000000000001</v>
      </c>
      <c r="F41">
        <v>8.7400000000000005E-2</v>
      </c>
      <c r="G41">
        <v>0.43680000000000002</v>
      </c>
      <c r="H41">
        <v>1.0189999999999999</v>
      </c>
      <c r="I41">
        <v>600</v>
      </c>
      <c r="J41">
        <v>386</v>
      </c>
      <c r="K41">
        <v>987</v>
      </c>
      <c r="L41">
        <v>60.85</v>
      </c>
      <c r="M41">
        <v>39.15</v>
      </c>
      <c r="N41">
        <v>31500</v>
      </c>
      <c r="O41">
        <v>2.6599999999999999E-2</v>
      </c>
      <c r="P41">
        <v>3.2599999999999997E-2</v>
      </c>
      <c r="Q41" s="4">
        <v>798</v>
      </c>
      <c r="R41">
        <f t="shared" si="0"/>
        <v>3.5099999999999999E-2</v>
      </c>
    </row>
    <row r="42" spans="1:18" x14ac:dyDescent="0.25">
      <c r="A42" t="s">
        <v>79</v>
      </c>
      <c r="B42" s="4">
        <v>666.6</v>
      </c>
      <c r="C42" s="4" t="s">
        <v>56</v>
      </c>
      <c r="D42" s="6" t="s">
        <v>30</v>
      </c>
      <c r="E42">
        <v>0.16669999999999999</v>
      </c>
      <c r="F42">
        <v>0.1111</v>
      </c>
      <c r="G42">
        <v>0.33329999999999999</v>
      </c>
      <c r="H42">
        <v>1</v>
      </c>
      <c r="I42">
        <v>628</v>
      </c>
      <c r="J42">
        <v>230</v>
      </c>
      <c r="K42">
        <v>858</v>
      </c>
      <c r="L42">
        <v>73.209999999999994</v>
      </c>
      <c r="M42">
        <v>26.79</v>
      </c>
      <c r="N42">
        <v>23700</v>
      </c>
      <c r="O42">
        <v>2.5600000000000001E-2</v>
      </c>
      <c r="P42">
        <v>3.15E-2</v>
      </c>
      <c r="Q42" s="4">
        <v>807</v>
      </c>
      <c r="R42">
        <f t="shared" si="0"/>
        <v>3.3500000000000002E-2</v>
      </c>
    </row>
    <row r="43" spans="1:18" x14ac:dyDescent="0.25">
      <c r="A43" t="s">
        <v>80</v>
      </c>
      <c r="B43" s="4">
        <v>666.6</v>
      </c>
      <c r="C43" s="4" t="s">
        <v>48</v>
      </c>
      <c r="D43" s="6" t="s">
        <v>30</v>
      </c>
      <c r="E43">
        <v>0.16009999999999999</v>
      </c>
      <c r="F43">
        <v>0.1245</v>
      </c>
      <c r="G43">
        <v>0.37359999999999999</v>
      </c>
      <c r="H43">
        <v>1.014</v>
      </c>
      <c r="I43">
        <v>628</v>
      </c>
      <c r="J43">
        <v>289</v>
      </c>
      <c r="K43">
        <v>916</v>
      </c>
      <c r="L43">
        <v>68.510000000000005</v>
      </c>
      <c r="M43">
        <v>31.49</v>
      </c>
      <c r="N43">
        <v>26400</v>
      </c>
      <c r="O43">
        <v>2.5499999999999998E-2</v>
      </c>
      <c r="P43">
        <v>3.1300000000000001E-2</v>
      </c>
      <c r="Q43" s="4">
        <v>812</v>
      </c>
      <c r="R43" t="str">
        <f t="shared" si="0"/>
        <v/>
      </c>
    </row>
    <row r="44" spans="1:18" x14ac:dyDescent="0.25">
      <c r="A44" t="s">
        <v>81</v>
      </c>
      <c r="B44" s="4">
        <v>715.5</v>
      </c>
      <c r="C44" s="4" t="s">
        <v>56</v>
      </c>
      <c r="D44" s="6" t="s">
        <v>30</v>
      </c>
      <c r="E44">
        <v>0.17269999999999999</v>
      </c>
      <c r="F44">
        <v>0.11509999999999999</v>
      </c>
      <c r="G44">
        <v>0.3453</v>
      </c>
      <c r="H44">
        <v>1.036</v>
      </c>
      <c r="I44">
        <v>674</v>
      </c>
      <c r="J44">
        <v>247</v>
      </c>
      <c r="K44">
        <v>920</v>
      </c>
      <c r="L44">
        <v>73.209999999999994</v>
      </c>
      <c r="M44">
        <v>26.79</v>
      </c>
      <c r="N44">
        <v>25500</v>
      </c>
      <c r="O44">
        <v>2.3900000000000001E-2</v>
      </c>
      <c r="P44">
        <v>2.9399999999999999E-2</v>
      </c>
      <c r="Q44" s="4">
        <v>844</v>
      </c>
      <c r="R44" t="str">
        <f t="shared" si="0"/>
        <v/>
      </c>
    </row>
    <row r="45" spans="1:18" x14ac:dyDescent="0.25">
      <c r="A45" t="s">
        <v>82</v>
      </c>
      <c r="B45" s="4">
        <v>715.5</v>
      </c>
      <c r="C45" s="4" t="s">
        <v>48</v>
      </c>
      <c r="D45" s="6" t="s">
        <v>30</v>
      </c>
      <c r="E45">
        <v>0.16589999999999999</v>
      </c>
      <c r="F45">
        <v>0.129</v>
      </c>
      <c r="G45">
        <v>0.3871</v>
      </c>
      <c r="H45">
        <v>1.0509999999999999</v>
      </c>
      <c r="I45">
        <v>674</v>
      </c>
      <c r="J45">
        <v>310</v>
      </c>
      <c r="K45">
        <v>984</v>
      </c>
      <c r="L45">
        <v>68.510000000000005</v>
      </c>
      <c r="M45">
        <v>31.49</v>
      </c>
      <c r="N45">
        <v>28400</v>
      </c>
      <c r="O45">
        <v>2.3800000000000002E-2</v>
      </c>
      <c r="P45">
        <v>2.92E-2</v>
      </c>
      <c r="Q45" s="4">
        <v>849</v>
      </c>
      <c r="R45">
        <f t="shared" si="0"/>
        <v>3.5499999999999997E-2</v>
      </c>
    </row>
    <row r="46" spans="1:18" x14ac:dyDescent="0.25">
      <c r="A46" t="s">
        <v>83</v>
      </c>
      <c r="B46" s="4">
        <v>715.5</v>
      </c>
      <c r="C46" s="4" t="s">
        <v>71</v>
      </c>
      <c r="D46" s="6" t="s">
        <v>30</v>
      </c>
      <c r="E46">
        <v>0.15440000000000001</v>
      </c>
      <c r="F46">
        <v>9.2700000000000005E-2</v>
      </c>
      <c r="G46">
        <v>0.46329999999999999</v>
      </c>
      <c r="H46">
        <v>1.081</v>
      </c>
      <c r="I46">
        <v>676</v>
      </c>
      <c r="J46">
        <v>435</v>
      </c>
      <c r="K46">
        <v>1110</v>
      </c>
      <c r="L46">
        <v>60.85</v>
      </c>
      <c r="M46">
        <v>39.15</v>
      </c>
      <c r="N46">
        <v>34600</v>
      </c>
      <c r="O46">
        <v>2.3599999999999999E-2</v>
      </c>
      <c r="P46">
        <v>2.9000000000000001E-2</v>
      </c>
      <c r="Q46" s="4">
        <v>859</v>
      </c>
      <c r="R46">
        <f t="shared" si="0"/>
        <v>3.7199999999999997E-2</v>
      </c>
    </row>
    <row r="47" spans="1:18" x14ac:dyDescent="0.25">
      <c r="A47" t="s">
        <v>84</v>
      </c>
      <c r="B47" s="4">
        <v>795</v>
      </c>
      <c r="C47" s="4" t="s">
        <v>74</v>
      </c>
      <c r="D47" s="6" t="s">
        <v>30</v>
      </c>
      <c r="E47">
        <v>0.14860000000000001</v>
      </c>
      <c r="F47">
        <v>0.14860000000000001</v>
      </c>
      <c r="G47">
        <v>0.14860000000000001</v>
      </c>
      <c r="H47">
        <v>1.04</v>
      </c>
      <c r="I47">
        <v>745</v>
      </c>
      <c r="J47">
        <v>58</v>
      </c>
      <c r="K47">
        <v>804</v>
      </c>
      <c r="L47">
        <v>92.72</v>
      </c>
      <c r="M47">
        <v>7.28</v>
      </c>
      <c r="N47">
        <v>16710</v>
      </c>
      <c r="O47">
        <v>2.1700000000000001E-2</v>
      </c>
      <c r="P47">
        <v>2.6800000000000001E-2</v>
      </c>
      <c r="Q47" s="4">
        <v>884</v>
      </c>
      <c r="R47">
        <f t="shared" si="0"/>
        <v>3.3500000000000002E-2</v>
      </c>
    </row>
    <row r="48" spans="1:18" x14ac:dyDescent="0.25">
      <c r="A48" t="s">
        <v>85</v>
      </c>
      <c r="B48" s="4">
        <v>795</v>
      </c>
      <c r="C48" s="4" t="s">
        <v>48</v>
      </c>
      <c r="D48" s="6" t="s">
        <v>30</v>
      </c>
      <c r="E48">
        <v>0.1749</v>
      </c>
      <c r="F48">
        <v>0.13600000000000001</v>
      </c>
      <c r="G48">
        <v>0.40799999999999997</v>
      </c>
      <c r="H48">
        <v>1.107</v>
      </c>
      <c r="I48">
        <v>749</v>
      </c>
      <c r="J48">
        <v>344</v>
      </c>
      <c r="K48">
        <v>1093</v>
      </c>
      <c r="L48">
        <v>68.510000000000005</v>
      </c>
      <c r="M48">
        <v>31.49</v>
      </c>
      <c r="N48">
        <v>31500</v>
      </c>
      <c r="O48">
        <v>2.1399999999999999E-2</v>
      </c>
      <c r="P48">
        <v>2.63E-2</v>
      </c>
      <c r="Q48" s="4">
        <v>907</v>
      </c>
      <c r="R48">
        <f t="shared" si="0"/>
        <v>3.7499999999999999E-2</v>
      </c>
    </row>
    <row r="49" spans="1:18" x14ac:dyDescent="0.25">
      <c r="A49" t="s">
        <v>86</v>
      </c>
      <c r="B49" s="4">
        <v>795</v>
      </c>
      <c r="C49" s="4" t="s">
        <v>87</v>
      </c>
      <c r="D49" s="6" t="s">
        <v>30</v>
      </c>
      <c r="E49">
        <v>0.13289999999999999</v>
      </c>
      <c r="F49">
        <v>8.8599999999999998E-2</v>
      </c>
      <c r="G49">
        <v>0.26579999999999998</v>
      </c>
      <c r="H49">
        <v>1.0629999999999999</v>
      </c>
      <c r="I49">
        <v>749</v>
      </c>
      <c r="J49">
        <v>146</v>
      </c>
      <c r="K49">
        <v>895</v>
      </c>
      <c r="L49">
        <v>83.67</v>
      </c>
      <c r="M49">
        <v>16.329999999999998</v>
      </c>
      <c r="N49">
        <v>22100</v>
      </c>
      <c r="O49">
        <v>2.1600000000000001E-2</v>
      </c>
      <c r="P49">
        <v>2.69E-2</v>
      </c>
      <c r="Q49" s="4">
        <v>887</v>
      </c>
      <c r="R49">
        <f t="shared" si="0"/>
        <v>3.5200000000000002E-2</v>
      </c>
    </row>
    <row r="50" spans="1:18" x14ac:dyDescent="0.25">
      <c r="A50" t="s">
        <v>88</v>
      </c>
      <c r="B50" s="4">
        <v>795</v>
      </c>
      <c r="C50" s="4" t="s">
        <v>89</v>
      </c>
      <c r="D50" s="6" t="s">
        <v>30</v>
      </c>
      <c r="E50">
        <v>0.12130000000000001</v>
      </c>
      <c r="F50">
        <v>0.12130000000000001</v>
      </c>
      <c r="G50">
        <v>0.36399999999999999</v>
      </c>
      <c r="H50">
        <v>1.0920000000000001</v>
      </c>
      <c r="I50">
        <v>749</v>
      </c>
      <c r="J50">
        <v>274</v>
      </c>
      <c r="K50">
        <v>1023</v>
      </c>
      <c r="L50">
        <v>73.209999999999994</v>
      </c>
      <c r="M50">
        <v>26.79</v>
      </c>
      <c r="N50">
        <v>28200</v>
      </c>
      <c r="O50">
        <v>2.1499999999999998E-2</v>
      </c>
      <c r="P50">
        <v>2.7199999999999998E-2</v>
      </c>
      <c r="Q50" s="4">
        <v>889</v>
      </c>
      <c r="R50">
        <f t="shared" si="0"/>
        <v>3.6799999999999999E-2</v>
      </c>
    </row>
    <row r="51" spans="1:18" x14ac:dyDescent="0.25">
      <c r="A51" t="s">
        <v>90</v>
      </c>
      <c r="B51" s="4">
        <v>795</v>
      </c>
      <c r="C51" s="4" t="s">
        <v>71</v>
      </c>
      <c r="D51" s="6" t="s">
        <v>30</v>
      </c>
      <c r="E51">
        <v>0.1628</v>
      </c>
      <c r="F51">
        <v>9.7699999999999995E-2</v>
      </c>
      <c r="G51">
        <v>0.4884</v>
      </c>
      <c r="H51">
        <v>1.1399999999999999</v>
      </c>
      <c r="I51">
        <v>751</v>
      </c>
      <c r="J51">
        <v>483</v>
      </c>
      <c r="K51">
        <v>1234</v>
      </c>
      <c r="L51">
        <v>60.86</v>
      </c>
      <c r="M51">
        <v>39.14</v>
      </c>
      <c r="N51">
        <v>38400</v>
      </c>
      <c r="O51">
        <v>2.1299999999999999E-2</v>
      </c>
      <c r="P51">
        <v>2.6100000000000002E-2</v>
      </c>
      <c r="Q51" s="4">
        <v>918</v>
      </c>
      <c r="R51">
        <f t="shared" si="0"/>
        <v>3.9199999999999999E-2</v>
      </c>
    </row>
    <row r="52" spans="1:18" x14ac:dyDescent="0.25">
      <c r="A52" t="s">
        <v>91</v>
      </c>
      <c r="B52" s="4">
        <v>900</v>
      </c>
      <c r="C52" s="4" t="s">
        <v>87</v>
      </c>
      <c r="D52" s="6" t="s">
        <v>30</v>
      </c>
      <c r="E52">
        <v>0.1414</v>
      </c>
      <c r="F52">
        <v>9.4299999999999995E-2</v>
      </c>
      <c r="G52">
        <v>0.2828</v>
      </c>
      <c r="H52">
        <v>1.131</v>
      </c>
      <c r="I52">
        <v>848</v>
      </c>
      <c r="J52">
        <v>165</v>
      </c>
      <c r="K52">
        <v>1013</v>
      </c>
      <c r="L52">
        <v>83.67</v>
      </c>
      <c r="M52">
        <v>16.329999999999998</v>
      </c>
      <c r="N52">
        <v>24400</v>
      </c>
      <c r="O52">
        <v>1.9099999999999999E-2</v>
      </c>
      <c r="P52">
        <v>2.3900000000000001E-2</v>
      </c>
      <c r="Q52" s="4">
        <v>958</v>
      </c>
      <c r="R52">
        <f t="shared" si="0"/>
        <v>3.7400000000000003E-2</v>
      </c>
    </row>
    <row r="53" spans="1:18" x14ac:dyDescent="0.25">
      <c r="A53" t="s">
        <v>92</v>
      </c>
      <c r="B53" s="4">
        <v>900</v>
      </c>
      <c r="C53" s="4" t="s">
        <v>89</v>
      </c>
      <c r="D53" s="6" t="s">
        <v>30</v>
      </c>
      <c r="E53">
        <v>0.12909999999999999</v>
      </c>
      <c r="F53">
        <v>0.12909999999999999</v>
      </c>
      <c r="G53">
        <v>0.38729999999999998</v>
      </c>
      <c r="H53">
        <v>1.1619999999999999</v>
      </c>
      <c r="I53">
        <v>848</v>
      </c>
      <c r="J53">
        <v>310</v>
      </c>
      <c r="K53">
        <v>1158</v>
      </c>
      <c r="L53">
        <v>73.22</v>
      </c>
      <c r="M53">
        <v>26.78</v>
      </c>
      <c r="N53">
        <v>31900</v>
      </c>
      <c r="O53">
        <v>1.9E-2</v>
      </c>
      <c r="P53">
        <v>2.41E-2</v>
      </c>
      <c r="Q53" s="4">
        <v>961</v>
      </c>
      <c r="R53">
        <f t="shared" si="0"/>
        <v>3.9199999999999999E-2</v>
      </c>
    </row>
    <row r="54" spans="1:18" x14ac:dyDescent="0.25">
      <c r="A54" t="s">
        <v>93</v>
      </c>
      <c r="B54" s="4">
        <v>954</v>
      </c>
      <c r="C54" s="4" t="s">
        <v>87</v>
      </c>
      <c r="D54" s="6" t="s">
        <v>30</v>
      </c>
      <c r="E54">
        <v>0.14560000000000001</v>
      </c>
      <c r="F54">
        <v>9.7100000000000006E-2</v>
      </c>
      <c r="G54">
        <v>0.29120000000000001</v>
      </c>
      <c r="H54">
        <v>1.165</v>
      </c>
      <c r="I54">
        <v>899</v>
      </c>
      <c r="J54">
        <v>175</v>
      </c>
      <c r="K54">
        <v>1074</v>
      </c>
      <c r="L54">
        <v>83.67</v>
      </c>
      <c r="M54">
        <v>16.329999999999998</v>
      </c>
      <c r="N54">
        <v>25900</v>
      </c>
      <c r="O54">
        <v>1.7999999999999999E-2</v>
      </c>
      <c r="P54">
        <v>2.2499999999999999E-2</v>
      </c>
      <c r="Q54" s="4">
        <v>993</v>
      </c>
      <c r="R54">
        <f t="shared" si="0"/>
        <v>3.85E-2</v>
      </c>
    </row>
    <row r="55" spans="1:18" x14ac:dyDescent="0.25">
      <c r="A55" t="s">
        <v>94</v>
      </c>
      <c r="B55" s="4">
        <v>954</v>
      </c>
      <c r="C55" s="4" t="s">
        <v>89</v>
      </c>
      <c r="D55" s="6" t="s">
        <v>30</v>
      </c>
      <c r="E55">
        <v>0.13289999999999999</v>
      </c>
      <c r="F55">
        <v>0.13289999999999999</v>
      </c>
      <c r="G55">
        <v>0.3987</v>
      </c>
      <c r="H55">
        <v>1.196</v>
      </c>
      <c r="I55">
        <v>899</v>
      </c>
      <c r="J55">
        <v>329</v>
      </c>
      <c r="K55">
        <v>1227</v>
      </c>
      <c r="L55">
        <v>73.209999999999994</v>
      </c>
      <c r="M55">
        <v>26.79</v>
      </c>
      <c r="N55">
        <v>33800</v>
      </c>
      <c r="O55">
        <v>1.7899999999999999E-2</v>
      </c>
      <c r="P55">
        <v>2.2800000000000001E-2</v>
      </c>
      <c r="Q55" s="4">
        <v>996</v>
      </c>
      <c r="R55">
        <f t="shared" si="0"/>
        <v>4.0399999999999998E-2</v>
      </c>
    </row>
    <row r="56" spans="1:18" x14ac:dyDescent="0.25">
      <c r="A56" t="s">
        <v>95</v>
      </c>
      <c r="B56" s="4">
        <v>1033.5</v>
      </c>
      <c r="C56" s="4" t="s">
        <v>87</v>
      </c>
      <c r="D56" s="6" t="s">
        <v>30</v>
      </c>
      <c r="E56">
        <v>0.1515</v>
      </c>
      <c r="F56">
        <v>0.10100000000000001</v>
      </c>
      <c r="G56">
        <v>0.30309999999999998</v>
      </c>
      <c r="H56">
        <v>1.212</v>
      </c>
      <c r="I56">
        <v>973</v>
      </c>
      <c r="J56">
        <v>190</v>
      </c>
      <c r="K56">
        <v>1163</v>
      </c>
      <c r="L56">
        <v>83.67</v>
      </c>
      <c r="M56">
        <v>16.329999999999998</v>
      </c>
      <c r="N56">
        <v>27700</v>
      </c>
      <c r="O56">
        <v>1.67E-2</v>
      </c>
      <c r="P56">
        <v>2.0899999999999998E-2</v>
      </c>
      <c r="Q56" s="4">
        <v>1043</v>
      </c>
      <c r="R56">
        <f t="shared" si="0"/>
        <v>4.0099999999999997E-2</v>
      </c>
    </row>
    <row r="57" spans="1:18" x14ac:dyDescent="0.25">
      <c r="A57" t="s">
        <v>96</v>
      </c>
      <c r="B57" s="4">
        <v>1033.5</v>
      </c>
      <c r="C57" s="4" t="s">
        <v>89</v>
      </c>
      <c r="D57" s="6" t="s">
        <v>30</v>
      </c>
      <c r="E57">
        <v>0.13830000000000001</v>
      </c>
      <c r="F57">
        <v>0.13830000000000001</v>
      </c>
      <c r="G57">
        <v>0.41499999999999998</v>
      </c>
      <c r="H57">
        <v>1.2450000000000001</v>
      </c>
      <c r="I57">
        <v>973</v>
      </c>
      <c r="J57">
        <v>356</v>
      </c>
      <c r="K57">
        <v>1330</v>
      </c>
      <c r="L57">
        <v>73.209999999999994</v>
      </c>
      <c r="M57">
        <v>26.79</v>
      </c>
      <c r="N57">
        <v>36600</v>
      </c>
      <c r="O57">
        <v>1.6500000000000001E-2</v>
      </c>
      <c r="P57">
        <v>2.1100000000000001E-2</v>
      </c>
      <c r="Q57" s="4">
        <v>1047</v>
      </c>
      <c r="R57">
        <f t="shared" si="0"/>
        <v>4.2000000000000003E-2</v>
      </c>
    </row>
    <row r="58" spans="1:18" x14ac:dyDescent="0.25">
      <c r="A58" t="s">
        <v>97</v>
      </c>
      <c r="B58" s="4">
        <v>1113</v>
      </c>
      <c r="C58" s="4" t="s">
        <v>87</v>
      </c>
      <c r="D58" s="6" t="s">
        <v>30</v>
      </c>
      <c r="E58">
        <v>0.1573</v>
      </c>
      <c r="F58">
        <v>0.1048</v>
      </c>
      <c r="G58">
        <v>0.3145</v>
      </c>
      <c r="H58">
        <v>1.258</v>
      </c>
      <c r="I58">
        <v>1048</v>
      </c>
      <c r="J58">
        <v>205</v>
      </c>
      <c r="K58">
        <v>1253</v>
      </c>
      <c r="L58">
        <v>83.67</v>
      </c>
      <c r="M58">
        <v>16.329999999999998</v>
      </c>
      <c r="N58">
        <v>29800</v>
      </c>
      <c r="O58">
        <v>1.55E-2</v>
      </c>
      <c r="P58">
        <v>1.9400000000000001E-2</v>
      </c>
      <c r="Q58" s="4">
        <v>1092</v>
      </c>
      <c r="R58">
        <f t="shared" si="0"/>
        <v>4.1599999999999998E-2</v>
      </c>
    </row>
    <row r="59" spans="1:18" x14ac:dyDescent="0.25">
      <c r="A59" t="s">
        <v>98</v>
      </c>
      <c r="B59" s="4">
        <v>1113</v>
      </c>
      <c r="C59" s="4" t="s">
        <v>99</v>
      </c>
      <c r="D59" s="6" t="s">
        <v>30</v>
      </c>
      <c r="E59">
        <v>0.14360000000000001</v>
      </c>
      <c r="F59">
        <v>8.6099999999999996E-2</v>
      </c>
      <c r="G59">
        <v>0.43070000000000003</v>
      </c>
      <c r="H59">
        <v>1.292</v>
      </c>
      <c r="I59">
        <v>1053</v>
      </c>
      <c r="J59">
        <v>375</v>
      </c>
      <c r="K59">
        <v>1429</v>
      </c>
      <c r="L59">
        <v>73.72</v>
      </c>
      <c r="M59">
        <v>26.28</v>
      </c>
      <c r="N59">
        <v>39100</v>
      </c>
      <c r="O59">
        <v>1.54E-2</v>
      </c>
      <c r="P59">
        <v>1.9699999999999999E-2</v>
      </c>
      <c r="Q59" s="4">
        <v>1093</v>
      </c>
      <c r="R59">
        <f t="shared" si="0"/>
        <v>4.36E-2</v>
      </c>
    </row>
    <row r="60" spans="1:18" x14ac:dyDescent="0.25">
      <c r="A60" t="s">
        <v>100</v>
      </c>
      <c r="B60" s="4">
        <v>1192.5</v>
      </c>
      <c r="C60" s="4" t="s">
        <v>87</v>
      </c>
      <c r="D60" s="6" t="s">
        <v>30</v>
      </c>
      <c r="E60">
        <v>0.1628</v>
      </c>
      <c r="F60">
        <v>0.1085</v>
      </c>
      <c r="G60">
        <v>0.3256</v>
      </c>
      <c r="H60">
        <v>1.302</v>
      </c>
      <c r="I60">
        <v>1123</v>
      </c>
      <c r="J60">
        <v>219</v>
      </c>
      <c r="K60">
        <v>1343</v>
      </c>
      <c r="L60">
        <v>83.67</v>
      </c>
      <c r="M60">
        <v>16.329999999999998</v>
      </c>
      <c r="N60">
        <v>32000</v>
      </c>
      <c r="O60">
        <v>1.44E-2</v>
      </c>
      <c r="P60">
        <v>1.8200000000000001E-2</v>
      </c>
      <c r="Q60" s="4">
        <v>1139</v>
      </c>
      <c r="R60">
        <f t="shared" si="0"/>
        <v>4.3099999999999999E-2</v>
      </c>
    </row>
    <row r="61" spans="1:18" x14ac:dyDescent="0.25">
      <c r="A61" t="s">
        <v>101</v>
      </c>
      <c r="B61" s="4">
        <v>1192.5</v>
      </c>
      <c r="C61" s="4" t="s">
        <v>99</v>
      </c>
      <c r="D61" s="6" t="s">
        <v>30</v>
      </c>
      <c r="E61">
        <v>0.14860000000000001</v>
      </c>
      <c r="F61">
        <v>8.9200000000000002E-2</v>
      </c>
      <c r="G61">
        <v>0.44579999999999997</v>
      </c>
      <c r="H61">
        <v>1.337</v>
      </c>
      <c r="I61">
        <v>1129</v>
      </c>
      <c r="J61">
        <v>402</v>
      </c>
      <c r="K61">
        <v>1531</v>
      </c>
      <c r="L61">
        <v>73.72</v>
      </c>
      <c r="M61">
        <v>26.28</v>
      </c>
      <c r="N61">
        <v>41900</v>
      </c>
      <c r="O61">
        <v>1.44E-2</v>
      </c>
      <c r="P61">
        <v>1.84E-2</v>
      </c>
      <c r="Q61" s="4">
        <v>1140</v>
      </c>
      <c r="R61">
        <f t="shared" si="0"/>
        <v>4.5100000000000001E-2</v>
      </c>
    </row>
    <row r="62" spans="1:18" x14ac:dyDescent="0.25">
      <c r="A62" t="s">
        <v>102</v>
      </c>
      <c r="B62" s="4">
        <v>1272</v>
      </c>
      <c r="C62" s="4" t="s">
        <v>87</v>
      </c>
      <c r="D62" s="6" t="s">
        <v>30</v>
      </c>
      <c r="E62">
        <v>0.1681</v>
      </c>
      <c r="F62">
        <v>0.11210000000000001</v>
      </c>
      <c r="G62">
        <v>0.3362</v>
      </c>
      <c r="H62">
        <v>1.345</v>
      </c>
      <c r="I62">
        <v>1198</v>
      </c>
      <c r="J62">
        <v>234</v>
      </c>
      <c r="K62">
        <v>1432</v>
      </c>
      <c r="L62">
        <v>83.67</v>
      </c>
      <c r="M62">
        <v>16.329999999999998</v>
      </c>
      <c r="N62">
        <v>34100</v>
      </c>
      <c r="O62">
        <v>1.35E-2</v>
      </c>
      <c r="P62">
        <v>1.7100000000000001E-2</v>
      </c>
      <c r="Q62" s="4">
        <v>1184</v>
      </c>
      <c r="R62">
        <f t="shared" si="0"/>
        <v>4.4499999999999998E-2</v>
      </c>
    </row>
    <row r="63" spans="1:18" x14ac:dyDescent="0.25">
      <c r="A63" t="s">
        <v>103</v>
      </c>
      <c r="B63" s="4">
        <v>1272</v>
      </c>
      <c r="C63" s="4" t="s">
        <v>99</v>
      </c>
      <c r="D63" s="6" t="s">
        <v>30</v>
      </c>
      <c r="E63">
        <v>0.1535</v>
      </c>
      <c r="F63">
        <v>9.2100000000000001E-2</v>
      </c>
      <c r="G63">
        <v>0.46050000000000002</v>
      </c>
      <c r="H63">
        <v>1.381</v>
      </c>
      <c r="I63">
        <v>1204</v>
      </c>
      <c r="J63">
        <v>429</v>
      </c>
      <c r="K63">
        <v>1633</v>
      </c>
      <c r="L63">
        <v>73.709999999999994</v>
      </c>
      <c r="M63">
        <v>26.29</v>
      </c>
      <c r="N63">
        <v>43600</v>
      </c>
      <c r="O63">
        <v>1.35E-2</v>
      </c>
      <c r="P63">
        <v>1.7299999999999999E-2</v>
      </c>
      <c r="Q63" s="4">
        <v>1187</v>
      </c>
      <c r="R63">
        <f t="shared" si="0"/>
        <v>4.6600000000000003E-2</v>
      </c>
    </row>
    <row r="64" spans="1:18" x14ac:dyDescent="0.25">
      <c r="A64" t="s">
        <v>104</v>
      </c>
      <c r="B64" s="4">
        <v>1351.5</v>
      </c>
      <c r="C64" s="4" t="s">
        <v>87</v>
      </c>
      <c r="D64" s="6" t="s">
        <v>30</v>
      </c>
      <c r="E64">
        <v>0.17330000000000001</v>
      </c>
      <c r="F64">
        <v>0.11550000000000001</v>
      </c>
      <c r="G64">
        <v>0.34660000000000002</v>
      </c>
      <c r="H64">
        <v>1.3859999999999999</v>
      </c>
      <c r="I64">
        <v>1273</v>
      </c>
      <c r="J64">
        <v>248</v>
      </c>
      <c r="K64">
        <v>1521</v>
      </c>
      <c r="L64">
        <v>83.67</v>
      </c>
      <c r="M64">
        <v>16.329999999999998</v>
      </c>
      <c r="N64">
        <v>36200</v>
      </c>
      <c r="O64">
        <v>1.2699999999999999E-2</v>
      </c>
      <c r="P64">
        <v>1.6199999999999999E-2</v>
      </c>
      <c r="Q64" s="4">
        <v>1229</v>
      </c>
      <c r="R64">
        <f t="shared" si="0"/>
        <v>4.5900000000000003E-2</v>
      </c>
    </row>
    <row r="65" spans="1:21" x14ac:dyDescent="0.25">
      <c r="A65" t="s">
        <v>105</v>
      </c>
      <c r="B65" s="4">
        <v>1351.5</v>
      </c>
      <c r="C65" s="4" t="s">
        <v>99</v>
      </c>
      <c r="D65" s="6" t="s">
        <v>30</v>
      </c>
      <c r="E65">
        <v>0.15820000000000001</v>
      </c>
      <c r="F65">
        <v>9.4899999999999998E-2</v>
      </c>
      <c r="G65">
        <v>0.47460000000000002</v>
      </c>
      <c r="H65">
        <v>1.4239999999999999</v>
      </c>
      <c r="I65">
        <v>1279</v>
      </c>
      <c r="J65">
        <v>456</v>
      </c>
      <c r="K65">
        <v>1735</v>
      </c>
      <c r="L65">
        <v>73.72</v>
      </c>
      <c r="M65">
        <v>26.28</v>
      </c>
      <c r="N65">
        <v>46300</v>
      </c>
      <c r="O65">
        <v>1.2699999999999999E-2</v>
      </c>
      <c r="P65">
        <v>1.6299999999999999E-2</v>
      </c>
      <c r="Q65" s="4">
        <v>1232</v>
      </c>
      <c r="R65">
        <f t="shared" si="0"/>
        <v>4.8000000000000001E-2</v>
      </c>
    </row>
    <row r="66" spans="1:21" x14ac:dyDescent="0.25">
      <c r="A66" t="s">
        <v>106</v>
      </c>
      <c r="B66" s="4">
        <v>1431</v>
      </c>
      <c r="C66" s="4" t="s">
        <v>87</v>
      </c>
      <c r="D66" s="6" t="s">
        <v>30</v>
      </c>
      <c r="E66">
        <v>0.17829999999999999</v>
      </c>
      <c r="F66">
        <v>0.11890000000000001</v>
      </c>
      <c r="G66">
        <v>0.35659999999999997</v>
      </c>
      <c r="H66">
        <v>1.427</v>
      </c>
      <c r="I66">
        <v>1348</v>
      </c>
      <c r="J66">
        <v>263</v>
      </c>
      <c r="K66">
        <v>1611</v>
      </c>
      <c r="L66">
        <v>83.67</v>
      </c>
      <c r="M66">
        <v>16.329999999999998</v>
      </c>
      <c r="N66">
        <v>38300</v>
      </c>
      <c r="O66">
        <v>1.2E-2</v>
      </c>
      <c r="P66">
        <v>1.5299999999999999E-2</v>
      </c>
      <c r="Q66" s="4">
        <v>1272</v>
      </c>
      <c r="R66">
        <f t="shared" si="0"/>
        <v>4.7199999999999999E-2</v>
      </c>
    </row>
    <row r="67" spans="1:21" x14ac:dyDescent="0.25">
      <c r="A67" t="s">
        <v>107</v>
      </c>
      <c r="B67" s="4">
        <v>1590</v>
      </c>
      <c r="C67" s="4" t="s">
        <v>87</v>
      </c>
      <c r="D67" s="6" t="s">
        <v>30</v>
      </c>
      <c r="E67">
        <v>0.188</v>
      </c>
      <c r="F67">
        <v>0.12529999999999999</v>
      </c>
      <c r="G67">
        <v>0.37590000000000001</v>
      </c>
      <c r="H67">
        <v>1.504</v>
      </c>
      <c r="I67">
        <v>1498</v>
      </c>
      <c r="J67">
        <v>292</v>
      </c>
      <c r="K67">
        <v>1790</v>
      </c>
      <c r="L67">
        <v>83.67</v>
      </c>
      <c r="M67">
        <v>16.329999999999998</v>
      </c>
      <c r="N67">
        <v>42200</v>
      </c>
      <c r="O67">
        <v>1.0800000000000001E-2</v>
      </c>
      <c r="P67">
        <v>1.3899999999999999E-2</v>
      </c>
      <c r="Q67" s="4">
        <v>1354</v>
      </c>
      <c r="R67">
        <f t="shared" si="0"/>
        <v>4.9799999999999997E-2</v>
      </c>
    </row>
    <row r="68" spans="1:21" x14ac:dyDescent="0.25">
      <c r="A68" t="s">
        <v>108</v>
      </c>
      <c r="B68" s="4">
        <v>1590</v>
      </c>
      <c r="C68" s="4" t="s">
        <v>99</v>
      </c>
      <c r="D68" s="6" t="s">
        <v>30</v>
      </c>
      <c r="E68">
        <v>0.1716</v>
      </c>
      <c r="F68">
        <v>0.10299999999999999</v>
      </c>
      <c r="G68">
        <v>0.51480000000000004</v>
      </c>
      <c r="H68">
        <v>1.544</v>
      </c>
      <c r="I68">
        <v>1505</v>
      </c>
      <c r="J68">
        <v>536</v>
      </c>
      <c r="K68">
        <v>2041</v>
      </c>
      <c r="L68">
        <v>73.72</v>
      </c>
      <c r="M68">
        <v>26.28</v>
      </c>
      <c r="N68">
        <v>54500</v>
      </c>
      <c r="O68">
        <v>1.0800000000000001E-2</v>
      </c>
      <c r="P68">
        <v>1.4E-2</v>
      </c>
      <c r="Q68" s="4">
        <v>1359</v>
      </c>
      <c r="R68">
        <f t="shared" ref="R68:R131" si="1">IF(ISNA(VLOOKUP(A68,x,4,FALSE)),"",VLOOKUP(A68,x,4,FALSE))</f>
        <v>5.21E-2</v>
      </c>
    </row>
    <row r="69" spans="1:21" x14ac:dyDescent="0.25">
      <c r="A69" t="s">
        <v>109</v>
      </c>
      <c r="B69" s="4">
        <v>1780</v>
      </c>
      <c r="C69" s="4" t="s">
        <v>110</v>
      </c>
      <c r="D69" s="6" t="s">
        <v>30</v>
      </c>
      <c r="E69">
        <v>0.14560000000000001</v>
      </c>
      <c r="F69">
        <v>8.7400000000000005E-2</v>
      </c>
      <c r="G69">
        <v>0.43680000000000002</v>
      </c>
      <c r="H69">
        <v>1.6020000000000001</v>
      </c>
      <c r="I69">
        <v>1685</v>
      </c>
      <c r="J69">
        <v>386</v>
      </c>
      <c r="K69">
        <v>2072</v>
      </c>
      <c r="L69">
        <v>81.349999999999994</v>
      </c>
      <c r="M69">
        <v>18.649999999999999</v>
      </c>
      <c r="N69">
        <v>51000</v>
      </c>
      <c r="O69">
        <v>9.7000000000000003E-3</v>
      </c>
      <c r="P69">
        <v>1.2500000000000001E-2</v>
      </c>
      <c r="Q69" s="4">
        <v>1453</v>
      </c>
      <c r="R69">
        <f t="shared" si="1"/>
        <v>5.3400000000000003E-2</v>
      </c>
    </row>
    <row r="70" spans="1:21" x14ac:dyDescent="0.25">
      <c r="A70" t="s">
        <v>328</v>
      </c>
      <c r="B70" s="33">
        <v>2034.5</v>
      </c>
      <c r="C70" s="33" t="s">
        <v>113</v>
      </c>
      <c r="D70" s="6" t="s">
        <v>30</v>
      </c>
      <c r="E70">
        <v>0.1681</v>
      </c>
      <c r="F70">
        <v>0.11219999999999999</v>
      </c>
      <c r="G70">
        <v>0.33700000000000002</v>
      </c>
      <c r="H70">
        <v>1.681</v>
      </c>
      <c r="I70">
        <v>1929</v>
      </c>
      <c r="J70">
        <v>234</v>
      </c>
      <c r="K70">
        <v>2163</v>
      </c>
      <c r="L70">
        <v>89.2</v>
      </c>
      <c r="M70">
        <v>18.7</v>
      </c>
      <c r="N70">
        <v>46800</v>
      </c>
      <c r="O70">
        <v>8.5000000000000006E-3</v>
      </c>
      <c r="P70">
        <v>1.12E-2</v>
      </c>
      <c r="Q70" s="33">
        <v>1546</v>
      </c>
      <c r="R70">
        <f t="shared" si="1"/>
        <v>5.5300000000000002E-2</v>
      </c>
    </row>
    <row r="71" spans="1:21" x14ac:dyDescent="0.25">
      <c r="A71" t="s">
        <v>111</v>
      </c>
      <c r="B71" s="4">
        <v>2156</v>
      </c>
      <c r="C71" s="4" t="s">
        <v>110</v>
      </c>
      <c r="D71" s="6" t="s">
        <v>30</v>
      </c>
      <c r="E71">
        <v>0.16020000000000001</v>
      </c>
      <c r="F71">
        <v>9.6199999999999994E-2</v>
      </c>
      <c r="G71">
        <v>0.48080000000000001</v>
      </c>
      <c r="H71">
        <v>1.762</v>
      </c>
      <c r="I71">
        <v>2040</v>
      </c>
      <c r="J71">
        <v>468</v>
      </c>
      <c r="K71">
        <v>2508</v>
      </c>
      <c r="L71">
        <v>81.34</v>
      </c>
      <c r="M71">
        <v>18.66</v>
      </c>
      <c r="N71">
        <v>60300</v>
      </c>
      <c r="O71">
        <v>8.0099999999999998E-3</v>
      </c>
      <c r="P71">
        <v>1.0500000000000001E-2</v>
      </c>
      <c r="Q71" s="4">
        <v>1623</v>
      </c>
      <c r="R71">
        <f t="shared" si="1"/>
        <v>5.8799999999999998E-2</v>
      </c>
    </row>
    <row r="72" spans="1:21" x14ac:dyDescent="0.25">
      <c r="A72" t="s">
        <v>112</v>
      </c>
      <c r="B72" s="4">
        <v>2167</v>
      </c>
      <c r="C72" s="4" t="s">
        <v>113</v>
      </c>
      <c r="D72" s="6" t="s">
        <v>30</v>
      </c>
      <c r="E72">
        <v>0.17349999999999999</v>
      </c>
      <c r="F72">
        <v>0.1157</v>
      </c>
      <c r="G72">
        <v>0.34699999999999998</v>
      </c>
      <c r="H72">
        <v>1.7350000000000001</v>
      </c>
      <c r="I72">
        <v>2051</v>
      </c>
      <c r="J72">
        <v>249</v>
      </c>
      <c r="K72">
        <v>2300</v>
      </c>
      <c r="L72">
        <v>89.17</v>
      </c>
      <c r="M72">
        <v>10.82</v>
      </c>
      <c r="N72">
        <v>49800</v>
      </c>
      <c r="O72">
        <v>8.0099999999999998E-3</v>
      </c>
      <c r="P72">
        <v>1.06E-2</v>
      </c>
      <c r="Q72" s="4">
        <v>1607</v>
      </c>
      <c r="R72">
        <f t="shared" si="1"/>
        <v>5.7000000000000002E-2</v>
      </c>
    </row>
    <row r="73" spans="1:21" x14ac:dyDescent="0.25">
      <c r="A73" s="7" t="s">
        <v>114</v>
      </c>
      <c r="B73" s="8">
        <v>6</v>
      </c>
      <c r="C73" s="9">
        <v>7</v>
      </c>
      <c r="D73" s="9" t="s">
        <v>115</v>
      </c>
      <c r="E73" s="10" t="s">
        <v>116</v>
      </c>
      <c r="F73" s="10"/>
      <c r="G73" s="10"/>
      <c r="H73" s="10">
        <v>0.184</v>
      </c>
      <c r="I73" s="10">
        <v>2.06E-2</v>
      </c>
      <c r="J73" s="10"/>
      <c r="K73" s="10">
        <v>25</v>
      </c>
      <c r="L73" s="10"/>
      <c r="M73" s="10"/>
      <c r="N73" s="10">
        <v>563</v>
      </c>
      <c r="O73" s="10">
        <v>0.65800000000000003</v>
      </c>
      <c r="P73" s="10">
        <v>0.80500000000000005</v>
      </c>
      <c r="Q73" s="9">
        <v>103</v>
      </c>
      <c r="R73">
        <f t="shared" si="1"/>
        <v>5.5500000000000002E-3</v>
      </c>
      <c r="S73" s="10"/>
      <c r="T73" s="10"/>
      <c r="U73" s="10"/>
    </row>
    <row r="74" spans="1:21" x14ac:dyDescent="0.25">
      <c r="A74" s="7" t="s">
        <v>117</v>
      </c>
      <c r="B74" s="8">
        <v>4</v>
      </c>
      <c r="C74" s="8">
        <v>7</v>
      </c>
      <c r="D74" s="9" t="s">
        <v>115</v>
      </c>
      <c r="E74" s="7" t="s">
        <v>116</v>
      </c>
      <c r="F74" s="7"/>
      <c r="G74" s="7"/>
      <c r="H74" s="7">
        <v>0.23200000000000001</v>
      </c>
      <c r="I74" s="7">
        <v>3.2800000000000003E-2</v>
      </c>
      <c r="J74" s="7"/>
      <c r="K74" s="7">
        <v>39</v>
      </c>
      <c r="L74" s="7"/>
      <c r="M74" s="7"/>
      <c r="N74" s="7">
        <v>881</v>
      </c>
      <c r="O74" s="7">
        <v>0.41399999999999998</v>
      </c>
      <c r="P74" s="7">
        <v>0.50600000000000001</v>
      </c>
      <c r="Q74" s="8">
        <v>138</v>
      </c>
      <c r="R74">
        <f t="shared" si="1"/>
        <v>7.0000000000000001E-3</v>
      </c>
      <c r="S74" s="7"/>
      <c r="T74" s="7"/>
      <c r="U74" s="7"/>
    </row>
    <row r="75" spans="1:21" x14ac:dyDescent="0.25">
      <c r="A75" s="7" t="s">
        <v>118</v>
      </c>
      <c r="B75" s="8">
        <v>2</v>
      </c>
      <c r="C75" s="8">
        <v>7</v>
      </c>
      <c r="D75" s="9" t="s">
        <v>115</v>
      </c>
      <c r="E75" s="7" t="s">
        <v>119</v>
      </c>
      <c r="F75" s="7"/>
      <c r="G75" s="7"/>
      <c r="H75" s="7">
        <v>0.29199999999999998</v>
      </c>
      <c r="I75" s="7">
        <v>5.2200000000000003E-2</v>
      </c>
      <c r="J75" s="7"/>
      <c r="K75" s="7">
        <v>62</v>
      </c>
      <c r="L75" s="7"/>
      <c r="M75" s="7"/>
      <c r="N75" s="7">
        <v>1350</v>
      </c>
      <c r="O75" s="7">
        <v>0.26</v>
      </c>
      <c r="P75" s="7">
        <v>0.318</v>
      </c>
      <c r="Q75" s="8">
        <v>185</v>
      </c>
      <c r="R75">
        <f t="shared" si="1"/>
        <v>8.8299999999999993E-3</v>
      </c>
      <c r="S75" s="7"/>
      <c r="T75" s="7"/>
      <c r="U75" s="7"/>
    </row>
    <row r="76" spans="1:21" x14ac:dyDescent="0.25">
      <c r="A76" s="7" t="s">
        <v>120</v>
      </c>
      <c r="B76" s="8">
        <v>1</v>
      </c>
      <c r="C76" s="8">
        <v>7</v>
      </c>
      <c r="D76" s="9" t="s">
        <v>115</v>
      </c>
      <c r="E76" s="7" t="s">
        <v>119</v>
      </c>
      <c r="F76" s="7"/>
      <c r="G76" s="7"/>
      <c r="H76" s="7">
        <v>0.32800000000000001</v>
      </c>
      <c r="I76" s="7">
        <v>6.5699999999999995E-2</v>
      </c>
      <c r="J76" s="7"/>
      <c r="K76" s="7">
        <v>78</v>
      </c>
      <c r="L76" s="7"/>
      <c r="M76" s="7"/>
      <c r="N76" s="7">
        <v>1640</v>
      </c>
      <c r="O76" s="7">
        <v>0.20699999999999999</v>
      </c>
      <c r="P76" s="7">
        <v>0.252</v>
      </c>
      <c r="Q76" s="8">
        <v>214</v>
      </c>
      <c r="R76">
        <f t="shared" si="1"/>
        <v>9.9100000000000004E-3</v>
      </c>
      <c r="S76" s="7"/>
      <c r="T76" s="7"/>
      <c r="U76" s="7"/>
    </row>
    <row r="77" spans="1:21" x14ac:dyDescent="0.25">
      <c r="A77" s="7" t="s">
        <v>121</v>
      </c>
      <c r="B77" s="11" t="s">
        <v>38</v>
      </c>
      <c r="C77" s="8">
        <v>7</v>
      </c>
      <c r="D77" s="9" t="s">
        <v>115</v>
      </c>
      <c r="E77" s="7" t="s">
        <v>119</v>
      </c>
      <c r="F77" s="7"/>
      <c r="G77" s="7"/>
      <c r="H77" s="7">
        <v>0.36799999999999999</v>
      </c>
      <c r="I77" s="7">
        <v>8.2900000000000001E-2</v>
      </c>
      <c r="J77" s="7"/>
      <c r="K77" s="7">
        <v>99</v>
      </c>
      <c r="L77" s="7"/>
      <c r="M77" s="7"/>
      <c r="N77" s="7">
        <v>1990</v>
      </c>
      <c r="O77" s="7">
        <v>0.16400000000000001</v>
      </c>
      <c r="P77" s="7">
        <v>0.2</v>
      </c>
      <c r="Q77" s="8">
        <v>247</v>
      </c>
      <c r="R77">
        <f t="shared" si="1"/>
        <v>1.11E-2</v>
      </c>
      <c r="S77" s="7"/>
      <c r="T77" s="7"/>
      <c r="U77" s="7"/>
    </row>
    <row r="78" spans="1:21" x14ac:dyDescent="0.25">
      <c r="A78" s="7" t="s">
        <v>122</v>
      </c>
      <c r="B78" s="11" t="s">
        <v>40</v>
      </c>
      <c r="C78" s="8">
        <v>7</v>
      </c>
      <c r="D78" s="9" t="s">
        <v>115</v>
      </c>
      <c r="E78" s="7" t="s">
        <v>119</v>
      </c>
      <c r="F78" s="7"/>
      <c r="G78" s="7"/>
      <c r="H78" s="7">
        <v>0.41399999999999998</v>
      </c>
      <c r="I78" s="7">
        <v>0.1045</v>
      </c>
      <c r="J78" s="7"/>
      <c r="K78" s="7">
        <v>125</v>
      </c>
      <c r="L78" s="7"/>
      <c r="M78" s="7"/>
      <c r="N78" s="7">
        <v>2510</v>
      </c>
      <c r="O78" s="7">
        <v>0.13</v>
      </c>
      <c r="P78" s="7">
        <v>0.159</v>
      </c>
      <c r="Q78" s="8">
        <v>286</v>
      </c>
      <c r="R78">
        <f t="shared" si="1"/>
        <v>1.2500000000000001E-2</v>
      </c>
      <c r="S78" s="7"/>
      <c r="T78" s="7"/>
      <c r="U78" s="7"/>
    </row>
    <row r="79" spans="1:21" x14ac:dyDescent="0.25">
      <c r="A79" s="7" t="s">
        <v>123</v>
      </c>
      <c r="B79" s="11" t="s">
        <v>42</v>
      </c>
      <c r="C79" s="8">
        <v>7</v>
      </c>
      <c r="D79" s="9" t="s">
        <v>115</v>
      </c>
      <c r="E79" s="7" t="s">
        <v>119</v>
      </c>
      <c r="F79" s="7"/>
      <c r="G79" s="7"/>
      <c r="H79" s="7">
        <v>0.46400000000000002</v>
      </c>
      <c r="I79" s="7">
        <v>0.13170000000000001</v>
      </c>
      <c r="J79" s="7"/>
      <c r="K79" s="7">
        <v>157</v>
      </c>
      <c r="L79" s="7"/>
      <c r="M79" s="7"/>
      <c r="N79" s="7">
        <v>3040</v>
      </c>
      <c r="O79" s="7">
        <v>0.10299999999999999</v>
      </c>
      <c r="P79" s="7">
        <v>0.126</v>
      </c>
      <c r="Q79" s="8">
        <v>331</v>
      </c>
      <c r="R79">
        <f t="shared" si="1"/>
        <v>1.4E-2</v>
      </c>
      <c r="S79" s="7"/>
      <c r="T79" s="7"/>
      <c r="U79" s="7"/>
    </row>
    <row r="80" spans="1:21" x14ac:dyDescent="0.25">
      <c r="A80" s="7" t="s">
        <v>124</v>
      </c>
      <c r="B80" s="11" t="s">
        <v>44</v>
      </c>
      <c r="C80" s="8">
        <v>7</v>
      </c>
      <c r="D80" s="9" t="s">
        <v>115</v>
      </c>
      <c r="E80" s="7" t="s">
        <v>119</v>
      </c>
      <c r="F80" s="7"/>
      <c r="G80" s="7"/>
      <c r="H80" s="7">
        <v>0.52200000000000002</v>
      </c>
      <c r="I80" s="7">
        <v>0.1663</v>
      </c>
      <c r="J80" s="7"/>
      <c r="K80" s="7">
        <v>198</v>
      </c>
      <c r="L80" s="7"/>
      <c r="M80" s="7"/>
      <c r="N80" s="7">
        <v>3830</v>
      </c>
      <c r="O80" s="7">
        <v>8.1699999999999995E-2</v>
      </c>
      <c r="P80" s="7">
        <v>9.9900000000000003E-2</v>
      </c>
      <c r="Q80" s="8">
        <v>383</v>
      </c>
      <c r="R80">
        <f t="shared" si="1"/>
        <v>1.5800000000000002E-2</v>
      </c>
      <c r="S80" s="7"/>
      <c r="T80" s="7"/>
      <c r="U80" s="7"/>
    </row>
    <row r="81" spans="1:21" x14ac:dyDescent="0.25">
      <c r="A81" s="7" t="s">
        <v>125</v>
      </c>
      <c r="B81" s="8">
        <v>250</v>
      </c>
      <c r="C81" s="8">
        <v>7</v>
      </c>
      <c r="D81" s="9" t="s">
        <v>115</v>
      </c>
      <c r="E81" s="7" t="s">
        <v>126</v>
      </c>
      <c r="F81" s="7"/>
      <c r="G81" s="7"/>
      <c r="H81" s="7">
        <v>0.56699999999999995</v>
      </c>
      <c r="I81" s="7">
        <v>0.19639999999999999</v>
      </c>
      <c r="J81" s="7"/>
      <c r="K81" s="7">
        <v>234</v>
      </c>
      <c r="L81" s="7"/>
      <c r="M81" s="7"/>
      <c r="N81" s="7">
        <v>4520</v>
      </c>
      <c r="O81" s="7">
        <v>6.9099999999999995E-2</v>
      </c>
      <c r="P81" s="7">
        <v>8.4599999999999995E-2</v>
      </c>
      <c r="Q81" s="8">
        <v>425</v>
      </c>
      <c r="R81">
        <f t="shared" si="1"/>
        <v>1.7100000000000001E-2</v>
      </c>
      <c r="S81" s="7"/>
      <c r="T81" s="7"/>
      <c r="U81" s="7"/>
    </row>
    <row r="82" spans="1:21" x14ac:dyDescent="0.25">
      <c r="A82" s="7" t="s">
        <v>127</v>
      </c>
      <c r="B82" s="8">
        <v>250</v>
      </c>
      <c r="C82" s="8">
        <v>19</v>
      </c>
      <c r="D82" s="9" t="s">
        <v>115</v>
      </c>
      <c r="E82" s="7" t="s">
        <v>116</v>
      </c>
      <c r="F82" s="7"/>
      <c r="G82" s="7"/>
      <c r="H82" s="7">
        <v>0.57399999999999995</v>
      </c>
      <c r="I82" s="7">
        <v>0.1963</v>
      </c>
      <c r="J82" s="7"/>
      <c r="K82" s="7">
        <v>234</v>
      </c>
      <c r="L82" s="7"/>
      <c r="M82" s="7"/>
      <c r="N82" s="7">
        <v>4660</v>
      </c>
      <c r="O82" s="7">
        <v>6.9099999999999995E-2</v>
      </c>
      <c r="P82" s="7">
        <v>8.4599999999999995E-2</v>
      </c>
      <c r="Q82" s="8">
        <v>426</v>
      </c>
      <c r="R82">
        <f t="shared" si="1"/>
        <v>1.8100000000000002E-2</v>
      </c>
      <c r="S82" s="7"/>
      <c r="T82" s="7"/>
      <c r="U82" s="7"/>
    </row>
    <row r="83" spans="1:21" x14ac:dyDescent="0.25">
      <c r="A83" s="7" t="s">
        <v>128</v>
      </c>
      <c r="B83" s="8">
        <v>266.8</v>
      </c>
      <c r="C83" s="8">
        <v>7</v>
      </c>
      <c r="D83" s="9" t="s">
        <v>115</v>
      </c>
      <c r="E83" s="7" t="s">
        <v>126</v>
      </c>
      <c r="F83" s="7"/>
      <c r="G83" s="7"/>
      <c r="H83" s="7">
        <v>0.58599999999999997</v>
      </c>
      <c r="I83" s="7">
        <v>0.20949999999999999</v>
      </c>
      <c r="J83" s="7"/>
      <c r="K83" s="7">
        <v>250</v>
      </c>
      <c r="L83" s="7"/>
      <c r="M83" s="7"/>
      <c r="N83" s="7">
        <v>4830</v>
      </c>
      <c r="O83" s="7">
        <v>6.4799999999999996E-2</v>
      </c>
      <c r="P83" s="7">
        <v>7.9299999999999995E-2</v>
      </c>
      <c r="Q83" s="8">
        <v>443</v>
      </c>
      <c r="R83">
        <f t="shared" si="1"/>
        <v>1.77E-2</v>
      </c>
      <c r="S83" s="7"/>
      <c r="T83" s="7"/>
      <c r="U83" s="7"/>
    </row>
    <row r="84" spans="1:21" x14ac:dyDescent="0.25">
      <c r="A84" s="7" t="s">
        <v>129</v>
      </c>
      <c r="B84" s="8">
        <v>266.8</v>
      </c>
      <c r="C84" s="8">
        <v>19</v>
      </c>
      <c r="D84" s="9" t="s">
        <v>115</v>
      </c>
      <c r="E84" s="7" t="s">
        <v>116</v>
      </c>
      <c r="F84" s="7"/>
      <c r="G84" s="7"/>
      <c r="H84" s="7">
        <v>0.59199999999999997</v>
      </c>
      <c r="I84" s="7">
        <v>0.20949999999999999</v>
      </c>
      <c r="J84" s="7"/>
      <c r="K84" s="7">
        <v>250</v>
      </c>
      <c r="L84" s="7"/>
      <c r="M84" s="7"/>
      <c r="N84" s="7">
        <v>4970</v>
      </c>
      <c r="O84" s="7">
        <v>6.4799999999999996E-2</v>
      </c>
      <c r="P84" s="7">
        <v>7.9299999999999995E-2</v>
      </c>
      <c r="Q84" s="8">
        <v>444</v>
      </c>
      <c r="R84">
        <f t="shared" si="1"/>
        <v>1.8700000000000001E-2</v>
      </c>
      <c r="S84" s="7"/>
      <c r="T84" s="7"/>
      <c r="U84" s="7"/>
    </row>
    <row r="85" spans="1:21" x14ac:dyDescent="0.25">
      <c r="A85" s="7" t="s">
        <v>130</v>
      </c>
      <c r="B85" s="8">
        <v>300</v>
      </c>
      <c r="C85" s="8">
        <v>19</v>
      </c>
      <c r="D85" s="9" t="s">
        <v>115</v>
      </c>
      <c r="E85" s="7" t="s">
        <v>116</v>
      </c>
      <c r="F85" s="7"/>
      <c r="G85" s="7"/>
      <c r="H85" s="7">
        <v>0.628</v>
      </c>
      <c r="I85" s="7">
        <v>0.23580000000000001</v>
      </c>
      <c r="J85" s="7"/>
      <c r="K85" s="7">
        <v>281</v>
      </c>
      <c r="L85" s="7"/>
      <c r="M85" s="7"/>
      <c r="N85" s="7">
        <v>5480</v>
      </c>
      <c r="O85" s="7">
        <v>5.7599999999999998E-2</v>
      </c>
      <c r="P85" s="7">
        <v>7.0599999999999996E-2</v>
      </c>
      <c r="Q85" s="8">
        <v>478</v>
      </c>
      <c r="R85">
        <f t="shared" si="1"/>
        <v>1.9800000000000002E-2</v>
      </c>
      <c r="S85" s="7"/>
      <c r="T85" s="7"/>
      <c r="U85" s="7"/>
    </row>
    <row r="86" spans="1:21" x14ac:dyDescent="0.25">
      <c r="A86" s="7" t="s">
        <v>131</v>
      </c>
      <c r="B86" s="8">
        <v>336.4</v>
      </c>
      <c r="C86" s="8">
        <v>19</v>
      </c>
      <c r="D86" s="9" t="s">
        <v>115</v>
      </c>
      <c r="E86" s="7" t="s">
        <v>116</v>
      </c>
      <c r="F86" s="7"/>
      <c r="G86" s="7"/>
      <c r="H86" s="7">
        <v>0.66500000000000004</v>
      </c>
      <c r="I86" s="7">
        <v>0.26440000000000002</v>
      </c>
      <c r="J86" s="7"/>
      <c r="K86" s="7">
        <v>315</v>
      </c>
      <c r="L86" s="7"/>
      <c r="M86" s="7"/>
      <c r="N86" s="7">
        <v>6150</v>
      </c>
      <c r="O86" s="7">
        <v>5.1400000000000001E-2</v>
      </c>
      <c r="P86" s="7">
        <v>6.3E-2</v>
      </c>
      <c r="Q86" s="8">
        <v>513</v>
      </c>
      <c r="R86">
        <f t="shared" si="1"/>
        <v>2.1000000000000001E-2</v>
      </c>
      <c r="S86" s="7"/>
      <c r="T86" s="7"/>
      <c r="U86" s="7"/>
    </row>
    <row r="87" spans="1:21" x14ac:dyDescent="0.25">
      <c r="A87" s="7" t="s">
        <v>132</v>
      </c>
      <c r="B87" s="8">
        <v>350</v>
      </c>
      <c r="C87" s="8">
        <v>19</v>
      </c>
      <c r="D87" s="9" t="s">
        <v>115</v>
      </c>
      <c r="E87" s="7" t="s">
        <v>116</v>
      </c>
      <c r="F87" s="7"/>
      <c r="G87" s="7"/>
      <c r="H87" s="7">
        <v>0.67900000000000005</v>
      </c>
      <c r="I87" s="7">
        <v>0.27479999999999999</v>
      </c>
      <c r="J87" s="7"/>
      <c r="K87" s="7">
        <v>328</v>
      </c>
      <c r="L87" s="7"/>
      <c r="M87" s="7"/>
      <c r="N87" s="7">
        <v>6390</v>
      </c>
      <c r="O87" s="7">
        <v>4.9399999999999999E-2</v>
      </c>
      <c r="P87" s="7">
        <v>6.0499999999999998E-2</v>
      </c>
      <c r="Q87" s="8">
        <v>526</v>
      </c>
      <c r="R87">
        <f t="shared" si="1"/>
        <v>2.1399999999999999E-2</v>
      </c>
      <c r="S87" s="7"/>
      <c r="T87" s="7"/>
      <c r="U87" s="7"/>
    </row>
    <row r="88" spans="1:21" x14ac:dyDescent="0.25">
      <c r="A88" s="7" t="s">
        <v>133</v>
      </c>
      <c r="B88" s="8">
        <v>397.5</v>
      </c>
      <c r="C88" s="8">
        <v>19</v>
      </c>
      <c r="D88" s="9" t="s">
        <v>115</v>
      </c>
      <c r="E88" s="7" t="s">
        <v>119</v>
      </c>
      <c r="F88" s="7"/>
      <c r="G88" s="7"/>
      <c r="H88" s="7">
        <v>0.72299999999999998</v>
      </c>
      <c r="I88" s="7">
        <v>0.312</v>
      </c>
      <c r="J88" s="7"/>
      <c r="K88" s="7">
        <v>373</v>
      </c>
      <c r="L88" s="7"/>
      <c r="M88" s="7"/>
      <c r="N88" s="7">
        <v>7110</v>
      </c>
      <c r="O88" s="7">
        <v>4.3499999999999997E-2</v>
      </c>
      <c r="P88" s="7">
        <v>5.3400000000000003E-2</v>
      </c>
      <c r="Q88" s="8">
        <v>570</v>
      </c>
      <c r="R88">
        <f t="shared" si="1"/>
        <v>2.2800000000000001E-2</v>
      </c>
      <c r="S88" s="7"/>
      <c r="T88" s="7"/>
      <c r="U88" s="7"/>
    </row>
    <row r="89" spans="1:21" x14ac:dyDescent="0.25">
      <c r="A89" s="7" t="s">
        <v>134</v>
      </c>
      <c r="B89" s="8">
        <v>450</v>
      </c>
      <c r="C89" s="8">
        <v>19</v>
      </c>
      <c r="D89" s="9" t="s">
        <v>115</v>
      </c>
      <c r="E89" s="7" t="s">
        <v>126</v>
      </c>
      <c r="F89" s="7"/>
      <c r="G89" s="7"/>
      <c r="H89" s="7">
        <v>0.76900000000000002</v>
      </c>
      <c r="I89" s="7">
        <v>0.35339999999999999</v>
      </c>
      <c r="J89" s="7"/>
      <c r="K89" s="7">
        <v>422</v>
      </c>
      <c r="L89" s="7"/>
      <c r="M89" s="7"/>
      <c r="N89" s="7">
        <v>7890</v>
      </c>
      <c r="O89" s="7">
        <v>3.8399999999999997E-2</v>
      </c>
      <c r="P89" s="7">
        <v>4.7199999999999999E-2</v>
      </c>
      <c r="Q89" s="8">
        <v>616</v>
      </c>
      <c r="R89">
        <f t="shared" si="1"/>
        <v>2.4299999999999999E-2</v>
      </c>
      <c r="S89" s="7"/>
      <c r="T89" s="7"/>
      <c r="U89" s="7"/>
    </row>
    <row r="90" spans="1:21" x14ac:dyDescent="0.25">
      <c r="A90" s="7" t="s">
        <v>135</v>
      </c>
      <c r="B90" s="8">
        <v>477</v>
      </c>
      <c r="C90" s="8">
        <v>19</v>
      </c>
      <c r="D90" s="9" t="s">
        <v>115</v>
      </c>
      <c r="E90" s="7" t="s">
        <v>126</v>
      </c>
      <c r="F90" s="7"/>
      <c r="G90" s="7"/>
      <c r="H90" s="7">
        <v>0.79200000000000004</v>
      </c>
      <c r="I90" s="7">
        <v>0.37440000000000001</v>
      </c>
      <c r="J90" s="7"/>
      <c r="K90" s="7">
        <v>447</v>
      </c>
      <c r="L90" s="7"/>
      <c r="M90" s="7"/>
      <c r="N90" s="7">
        <v>8360</v>
      </c>
      <c r="O90" s="7">
        <v>3.6200000000000003E-2</v>
      </c>
      <c r="P90" s="7">
        <v>4.4499999999999998E-2</v>
      </c>
      <c r="Q90" s="8">
        <v>639</v>
      </c>
      <c r="R90">
        <f t="shared" si="1"/>
        <v>2.5000000000000001E-2</v>
      </c>
      <c r="S90" s="7"/>
      <c r="T90" s="7"/>
      <c r="U90" s="7"/>
    </row>
    <row r="91" spans="1:21" x14ac:dyDescent="0.25">
      <c r="A91" s="7" t="s">
        <v>136</v>
      </c>
      <c r="B91" s="8">
        <v>477</v>
      </c>
      <c r="C91" s="8">
        <v>37</v>
      </c>
      <c r="D91" s="9" t="s">
        <v>115</v>
      </c>
      <c r="E91" s="7" t="s">
        <v>116</v>
      </c>
      <c r="F91" s="7"/>
      <c r="G91" s="7"/>
      <c r="H91" s="7">
        <v>0.79500000000000004</v>
      </c>
      <c r="I91" s="7">
        <v>0.37440000000000001</v>
      </c>
      <c r="J91" s="7"/>
      <c r="K91" s="7">
        <v>447</v>
      </c>
      <c r="L91" s="7"/>
      <c r="M91" s="7"/>
      <c r="N91" s="7">
        <v>8690</v>
      </c>
      <c r="O91" s="7">
        <v>3.6200000000000003E-2</v>
      </c>
      <c r="P91" s="7">
        <v>4.4499999999999998E-2</v>
      </c>
      <c r="Q91" s="8">
        <v>639</v>
      </c>
      <c r="R91">
        <f t="shared" si="1"/>
        <v>2.5399999999999999E-2</v>
      </c>
      <c r="S91" s="7"/>
      <c r="T91" s="7"/>
      <c r="U91" s="7"/>
    </row>
    <row r="92" spans="1:21" x14ac:dyDescent="0.25">
      <c r="A92" s="7" t="s">
        <v>137</v>
      </c>
      <c r="B92" s="8">
        <v>500</v>
      </c>
      <c r="C92" s="8">
        <v>19</v>
      </c>
      <c r="D92" s="9" t="s">
        <v>115</v>
      </c>
      <c r="E92" s="7" t="s">
        <v>126</v>
      </c>
      <c r="F92" s="7"/>
      <c r="G92" s="7"/>
      <c r="H92" s="7">
        <v>0.81100000000000005</v>
      </c>
      <c r="I92" s="7">
        <v>0.3926</v>
      </c>
      <c r="J92" s="7"/>
      <c r="K92" s="7">
        <v>469</v>
      </c>
      <c r="L92" s="7"/>
      <c r="M92" s="7"/>
      <c r="N92" s="7">
        <v>8760</v>
      </c>
      <c r="O92" s="7">
        <v>3.4599999999999999E-2</v>
      </c>
      <c r="P92" s="7">
        <v>4.2500000000000003E-2</v>
      </c>
      <c r="Q92" s="8">
        <v>658</v>
      </c>
      <c r="R92">
        <f t="shared" si="1"/>
        <v>2.5600000000000001E-2</v>
      </c>
      <c r="S92" s="7"/>
      <c r="T92" s="7"/>
      <c r="U92" s="7"/>
    </row>
    <row r="93" spans="1:21" x14ac:dyDescent="0.25">
      <c r="A93" s="7" t="s">
        <v>138</v>
      </c>
      <c r="B93" s="8">
        <v>500</v>
      </c>
      <c r="C93" s="8">
        <v>37</v>
      </c>
      <c r="D93" s="9" t="s">
        <v>115</v>
      </c>
      <c r="E93" s="7" t="s">
        <v>126</v>
      </c>
      <c r="F93" s="7"/>
      <c r="G93" s="7"/>
      <c r="H93" s="7">
        <v>0.81399999999999995</v>
      </c>
      <c r="I93" s="7">
        <v>0.39240000000000003</v>
      </c>
      <c r="J93" s="7"/>
      <c r="K93" s="7">
        <v>469</v>
      </c>
      <c r="L93" s="7"/>
      <c r="M93" s="7"/>
      <c r="N93" s="7">
        <v>9110</v>
      </c>
      <c r="O93" s="7">
        <v>3.4599999999999999E-2</v>
      </c>
      <c r="P93" s="7">
        <v>4.2500000000000003E-2</v>
      </c>
      <c r="Q93" s="8">
        <v>658</v>
      </c>
      <c r="R93" t="str">
        <f t="shared" si="1"/>
        <v/>
      </c>
      <c r="S93" s="7"/>
      <c r="T93" s="7"/>
      <c r="U93" s="7"/>
    </row>
    <row r="94" spans="1:21" x14ac:dyDescent="0.25">
      <c r="A94" s="7" t="s">
        <v>139</v>
      </c>
      <c r="B94" s="8">
        <v>556.5</v>
      </c>
      <c r="C94" s="8">
        <v>19</v>
      </c>
      <c r="D94" s="9" t="s">
        <v>115</v>
      </c>
      <c r="E94" s="7" t="s">
        <v>126</v>
      </c>
      <c r="F94" s="7"/>
      <c r="G94" s="7"/>
      <c r="H94" s="7">
        <v>0.85599999999999998</v>
      </c>
      <c r="I94" s="7">
        <v>0.43690000000000001</v>
      </c>
      <c r="J94" s="7"/>
      <c r="K94" s="7">
        <v>522</v>
      </c>
      <c r="L94" s="7"/>
      <c r="M94" s="7"/>
      <c r="N94" s="7">
        <v>9750</v>
      </c>
      <c r="O94" s="7">
        <v>3.1099999999999999E-2</v>
      </c>
      <c r="P94" s="7">
        <v>3.8199999999999998E-2</v>
      </c>
      <c r="Q94" s="8">
        <v>703</v>
      </c>
      <c r="R94">
        <f t="shared" si="1"/>
        <v>2.7E-2</v>
      </c>
      <c r="S94" s="7"/>
      <c r="T94" s="7"/>
      <c r="U94" s="7"/>
    </row>
    <row r="95" spans="1:21" x14ac:dyDescent="0.25">
      <c r="A95" s="7" t="s">
        <v>140</v>
      </c>
      <c r="B95" s="8">
        <v>556.5</v>
      </c>
      <c r="C95" s="8">
        <v>37</v>
      </c>
      <c r="D95" s="9" t="s">
        <v>115</v>
      </c>
      <c r="E95" s="7" t="s">
        <v>126</v>
      </c>
      <c r="F95" s="7"/>
      <c r="G95" s="7"/>
      <c r="H95" s="7">
        <v>0.85799999999999998</v>
      </c>
      <c r="I95" s="7">
        <v>0.43680000000000002</v>
      </c>
      <c r="J95" s="7"/>
      <c r="K95" s="7">
        <v>522</v>
      </c>
      <c r="L95" s="7"/>
      <c r="M95" s="7"/>
      <c r="N95" s="7">
        <v>9940</v>
      </c>
      <c r="O95" s="7">
        <v>3.1099999999999999E-2</v>
      </c>
      <c r="P95" s="7">
        <v>3.8199999999999998E-2</v>
      </c>
      <c r="Q95" s="8">
        <v>704</v>
      </c>
      <c r="R95">
        <f t="shared" si="1"/>
        <v>2.75E-2</v>
      </c>
      <c r="S95" s="7"/>
      <c r="T95" s="7"/>
      <c r="U95" s="7"/>
    </row>
    <row r="96" spans="1:21" x14ac:dyDescent="0.25">
      <c r="A96" s="7" t="s">
        <v>141</v>
      </c>
      <c r="B96" s="8">
        <v>600</v>
      </c>
      <c r="C96" s="8">
        <v>37</v>
      </c>
      <c r="D96" s="9" t="s">
        <v>115</v>
      </c>
      <c r="E96" s="7" t="s">
        <v>126</v>
      </c>
      <c r="F96" s="7"/>
      <c r="G96" s="7"/>
      <c r="H96" s="7">
        <v>0.89100000000000001</v>
      </c>
      <c r="I96" s="7">
        <v>0.47089999999999999</v>
      </c>
      <c r="J96" s="7"/>
      <c r="K96" s="7">
        <v>562</v>
      </c>
      <c r="L96" s="7"/>
      <c r="M96" s="7"/>
      <c r="N96" s="7">
        <v>10700</v>
      </c>
      <c r="O96" s="7">
        <v>2.2800000000000001E-2</v>
      </c>
      <c r="P96" s="7">
        <v>3.5499999999999997E-2</v>
      </c>
      <c r="Q96" s="8">
        <v>738</v>
      </c>
      <c r="R96">
        <f t="shared" si="1"/>
        <v>2.8500000000000001E-2</v>
      </c>
      <c r="S96" s="7"/>
      <c r="T96" s="7"/>
      <c r="U96" s="7"/>
    </row>
    <row r="97" spans="1:21" x14ac:dyDescent="0.25">
      <c r="A97" s="7" t="s">
        <v>142</v>
      </c>
      <c r="B97" s="8">
        <v>636</v>
      </c>
      <c r="C97" s="8">
        <v>37</v>
      </c>
      <c r="D97" s="9" t="s">
        <v>115</v>
      </c>
      <c r="E97" s="7" t="s">
        <v>119</v>
      </c>
      <c r="F97" s="7"/>
      <c r="G97" s="7"/>
      <c r="H97" s="7">
        <v>0.91800000000000004</v>
      </c>
      <c r="I97" s="7">
        <v>0.4995</v>
      </c>
      <c r="J97" s="7"/>
      <c r="K97" s="7">
        <v>596</v>
      </c>
      <c r="L97" s="7"/>
      <c r="M97" s="7"/>
      <c r="N97" s="7">
        <v>11400</v>
      </c>
      <c r="O97" s="7">
        <v>2.7199999999999998E-2</v>
      </c>
      <c r="P97" s="7">
        <v>3.3500000000000002E-2</v>
      </c>
      <c r="Q97" s="8">
        <v>765</v>
      </c>
      <c r="R97">
        <f t="shared" si="1"/>
        <v>2.9399999999999999E-2</v>
      </c>
      <c r="S97" s="7"/>
      <c r="T97" s="7"/>
      <c r="U97" s="7"/>
    </row>
    <row r="98" spans="1:21" x14ac:dyDescent="0.25">
      <c r="A98" s="7" t="s">
        <v>143</v>
      </c>
      <c r="B98" s="8">
        <v>650</v>
      </c>
      <c r="C98" s="8">
        <v>37</v>
      </c>
      <c r="D98" s="9" t="s">
        <v>115</v>
      </c>
      <c r="E98" s="7" t="s">
        <v>126</v>
      </c>
      <c r="F98" s="7"/>
      <c r="G98" s="7"/>
      <c r="H98" s="7">
        <v>0.92800000000000005</v>
      </c>
      <c r="I98" s="7">
        <v>0.51019999999999999</v>
      </c>
      <c r="J98" s="7"/>
      <c r="K98" s="7">
        <v>609</v>
      </c>
      <c r="L98" s="7"/>
      <c r="M98" s="7"/>
      <c r="N98" s="7">
        <v>11600</v>
      </c>
      <c r="O98" s="7">
        <v>2.6599999999999999E-2</v>
      </c>
      <c r="P98" s="7">
        <v>3.2800000000000003E-2</v>
      </c>
      <c r="Q98" s="8">
        <v>775</v>
      </c>
      <c r="R98">
        <f t="shared" si="1"/>
        <v>2.9700000000000001E-2</v>
      </c>
      <c r="S98" s="7"/>
      <c r="T98" s="7"/>
      <c r="U98" s="7"/>
    </row>
    <row r="99" spans="1:21" x14ac:dyDescent="0.25">
      <c r="A99" s="7" t="s">
        <v>144</v>
      </c>
      <c r="B99" s="8">
        <v>700</v>
      </c>
      <c r="C99" s="8">
        <v>37</v>
      </c>
      <c r="D99" s="9" t="s">
        <v>115</v>
      </c>
      <c r="E99" s="7" t="s">
        <v>126</v>
      </c>
      <c r="F99" s="7"/>
      <c r="G99" s="7"/>
      <c r="H99" s="7">
        <v>0.96299999999999997</v>
      </c>
      <c r="I99" s="7">
        <v>0.5494</v>
      </c>
      <c r="J99" s="7"/>
      <c r="K99" s="7">
        <v>656</v>
      </c>
      <c r="L99" s="7"/>
      <c r="M99" s="7"/>
      <c r="N99" s="7">
        <v>12500</v>
      </c>
      <c r="O99" s="7">
        <v>2.47E-2</v>
      </c>
      <c r="P99" s="7">
        <v>3.0499999999999999E-2</v>
      </c>
      <c r="Q99" s="8">
        <v>812</v>
      </c>
      <c r="R99">
        <f t="shared" si="1"/>
        <v>3.0800000000000001E-2</v>
      </c>
      <c r="S99" s="7"/>
      <c r="T99" s="7"/>
      <c r="U99" s="7"/>
    </row>
    <row r="100" spans="1:21" x14ac:dyDescent="0.25">
      <c r="A100" s="7" t="s">
        <v>145</v>
      </c>
      <c r="B100" s="8">
        <v>700</v>
      </c>
      <c r="C100" s="8">
        <v>61</v>
      </c>
      <c r="D100" s="9" t="s">
        <v>115</v>
      </c>
      <c r="E100" s="7" t="s">
        <v>116</v>
      </c>
      <c r="F100" s="7"/>
      <c r="G100" s="7"/>
      <c r="H100" s="7">
        <v>0.96399999999999997</v>
      </c>
      <c r="I100" s="7">
        <v>0.54949999999999999</v>
      </c>
      <c r="J100" s="7"/>
      <c r="K100" s="7">
        <v>656</v>
      </c>
      <c r="L100" s="7"/>
      <c r="M100" s="7"/>
      <c r="N100" s="7">
        <v>12900</v>
      </c>
      <c r="O100" s="7">
        <v>2.47E-2</v>
      </c>
      <c r="P100" s="7">
        <v>3.0499999999999999E-2</v>
      </c>
      <c r="Q100" s="8">
        <v>812</v>
      </c>
      <c r="R100" t="str">
        <f t="shared" si="1"/>
        <v/>
      </c>
      <c r="S100" s="7"/>
      <c r="T100" s="7"/>
      <c r="U100" s="7"/>
    </row>
    <row r="101" spans="1:21" x14ac:dyDescent="0.25">
      <c r="A101" s="7" t="s">
        <v>146</v>
      </c>
      <c r="B101" s="8">
        <v>715.5</v>
      </c>
      <c r="C101" s="8">
        <v>37</v>
      </c>
      <c r="D101" s="9" t="s">
        <v>115</v>
      </c>
      <c r="E101" s="7" t="s">
        <v>126</v>
      </c>
      <c r="F101" s="7"/>
      <c r="G101" s="7"/>
      <c r="H101" s="7">
        <v>0.97299999999999998</v>
      </c>
      <c r="I101" s="7">
        <v>0.56230000000000002</v>
      </c>
      <c r="J101" s="7"/>
      <c r="K101" s="7">
        <v>671</v>
      </c>
      <c r="L101" s="7"/>
      <c r="M101" s="7"/>
      <c r="N101" s="7">
        <v>12800</v>
      </c>
      <c r="O101" s="7">
        <v>2.4199999999999999E-2</v>
      </c>
      <c r="P101" s="7">
        <v>2.9899999999999999E-2</v>
      </c>
      <c r="Q101" s="8">
        <v>823</v>
      </c>
      <c r="R101">
        <f t="shared" si="1"/>
        <v>3.1199999999999999E-2</v>
      </c>
      <c r="S101" s="7"/>
      <c r="T101" s="7"/>
      <c r="U101" s="7"/>
    </row>
    <row r="102" spans="1:21" x14ac:dyDescent="0.25">
      <c r="A102" s="7" t="s">
        <v>147</v>
      </c>
      <c r="B102" s="8">
        <v>715.5</v>
      </c>
      <c r="C102" s="8">
        <v>61</v>
      </c>
      <c r="D102" s="9" t="s">
        <v>115</v>
      </c>
      <c r="E102" s="7" t="s">
        <v>126</v>
      </c>
      <c r="F102" s="7"/>
      <c r="G102" s="7"/>
      <c r="H102" s="7">
        <v>0.97499999999999998</v>
      </c>
      <c r="I102" s="7">
        <v>0.56189999999999996</v>
      </c>
      <c r="J102" s="7"/>
      <c r="K102" s="7">
        <v>671</v>
      </c>
      <c r="L102" s="7"/>
      <c r="M102" s="7"/>
      <c r="N102" s="7">
        <v>13100</v>
      </c>
      <c r="O102" s="7">
        <v>2.4199999999999999E-2</v>
      </c>
      <c r="P102" s="7">
        <v>2.9899999999999999E-2</v>
      </c>
      <c r="Q102" s="8">
        <v>823</v>
      </c>
      <c r="R102">
        <f t="shared" si="1"/>
        <v>3.1399999999999997E-2</v>
      </c>
      <c r="S102" s="7"/>
      <c r="T102" s="7"/>
      <c r="U102" s="7"/>
    </row>
    <row r="103" spans="1:21" x14ac:dyDescent="0.25">
      <c r="A103" s="7" t="s">
        <v>148</v>
      </c>
      <c r="B103" s="8">
        <v>750</v>
      </c>
      <c r="C103" s="8">
        <v>37</v>
      </c>
      <c r="D103" s="9" t="s">
        <v>115</v>
      </c>
      <c r="E103" s="7" t="s">
        <v>126</v>
      </c>
      <c r="F103" s="7"/>
      <c r="G103" s="7"/>
      <c r="H103" s="7">
        <v>0.997</v>
      </c>
      <c r="I103" s="7">
        <v>0.58930000000000005</v>
      </c>
      <c r="J103" s="7"/>
      <c r="K103" s="7">
        <v>703</v>
      </c>
      <c r="L103" s="7"/>
      <c r="M103" s="7"/>
      <c r="N103" s="7">
        <v>13100</v>
      </c>
      <c r="O103" s="7">
        <v>2.3E-2</v>
      </c>
      <c r="P103" s="7">
        <v>2.86E-2</v>
      </c>
      <c r="Q103" s="8">
        <v>847</v>
      </c>
      <c r="R103">
        <f t="shared" si="1"/>
        <v>3.1899999999999998E-2</v>
      </c>
      <c r="S103" s="7"/>
      <c r="T103" s="7"/>
      <c r="U103" s="7"/>
    </row>
    <row r="104" spans="1:21" x14ac:dyDescent="0.25">
      <c r="A104" s="7" t="s">
        <v>149</v>
      </c>
      <c r="B104" s="8">
        <v>750</v>
      </c>
      <c r="C104" s="8">
        <v>61</v>
      </c>
      <c r="D104" s="9" t="s">
        <v>115</v>
      </c>
      <c r="E104" s="7" t="s">
        <v>126</v>
      </c>
      <c r="F104" s="7"/>
      <c r="G104" s="7"/>
      <c r="H104" s="7">
        <v>0.998</v>
      </c>
      <c r="I104" s="7">
        <v>0.58919999999999995</v>
      </c>
      <c r="J104" s="7"/>
      <c r="K104" s="7">
        <v>703</v>
      </c>
      <c r="L104" s="7"/>
      <c r="M104" s="7"/>
      <c r="N104" s="7">
        <v>13500</v>
      </c>
      <c r="O104" s="7">
        <v>2.3E-2</v>
      </c>
      <c r="P104" s="7">
        <v>2.86E-2</v>
      </c>
      <c r="Q104" s="8">
        <v>847</v>
      </c>
      <c r="R104" t="str">
        <f t="shared" si="1"/>
        <v/>
      </c>
      <c r="S104" s="7"/>
      <c r="T104" s="7"/>
      <c r="U104" s="7"/>
    </row>
    <row r="105" spans="1:21" x14ac:dyDescent="0.25">
      <c r="A105" s="7" t="s">
        <v>150</v>
      </c>
      <c r="B105" s="8">
        <v>795</v>
      </c>
      <c r="C105" s="8">
        <v>37</v>
      </c>
      <c r="D105" s="9" t="s">
        <v>115</v>
      </c>
      <c r="E105" s="7" t="s">
        <v>126</v>
      </c>
      <c r="F105" s="7"/>
      <c r="G105" s="7"/>
      <c r="H105" s="7">
        <v>1.026</v>
      </c>
      <c r="I105" s="7">
        <v>0.62450000000000006</v>
      </c>
      <c r="J105" s="7"/>
      <c r="K105" s="7">
        <v>745</v>
      </c>
      <c r="L105" s="7"/>
      <c r="M105" s="7"/>
      <c r="N105" s="7">
        <v>13900</v>
      </c>
      <c r="O105" s="7">
        <v>2.1700000000000001E-2</v>
      </c>
      <c r="P105" s="7">
        <v>2.7E-2</v>
      </c>
      <c r="Q105" s="8">
        <v>878</v>
      </c>
      <c r="R105">
        <f t="shared" si="1"/>
        <v>3.2800000000000003E-2</v>
      </c>
      <c r="S105" s="7"/>
      <c r="T105" s="7"/>
      <c r="U105" s="7"/>
    </row>
    <row r="106" spans="1:21" x14ac:dyDescent="0.25">
      <c r="A106" s="7" t="s">
        <v>151</v>
      </c>
      <c r="B106" s="8">
        <v>795</v>
      </c>
      <c r="C106" s="8">
        <v>61</v>
      </c>
      <c r="D106" s="9" t="s">
        <v>115</v>
      </c>
      <c r="E106" s="7" t="s">
        <v>116</v>
      </c>
      <c r="F106" s="7"/>
      <c r="G106" s="7"/>
      <c r="H106" s="7">
        <v>1.0269999999999999</v>
      </c>
      <c r="I106" s="7">
        <v>0.62480000000000002</v>
      </c>
      <c r="J106" s="7"/>
      <c r="K106" s="7">
        <v>745</v>
      </c>
      <c r="L106" s="7"/>
      <c r="M106" s="7"/>
      <c r="N106" s="7">
        <v>14300</v>
      </c>
      <c r="O106" s="7">
        <v>2.1700000000000001E-2</v>
      </c>
      <c r="P106" s="7">
        <v>2.7E-2</v>
      </c>
      <c r="Q106" s="8">
        <v>879</v>
      </c>
      <c r="R106">
        <f t="shared" si="1"/>
        <v>3.3099999999999997E-2</v>
      </c>
      <c r="S106" s="7"/>
      <c r="T106" s="7"/>
      <c r="U106" s="7"/>
    </row>
    <row r="107" spans="1:21" x14ac:dyDescent="0.25">
      <c r="A107" s="7" t="s">
        <v>152</v>
      </c>
      <c r="B107" s="8">
        <v>900</v>
      </c>
      <c r="C107" s="8">
        <v>37</v>
      </c>
      <c r="D107" s="9" t="s">
        <v>115</v>
      </c>
      <c r="E107" s="7" t="s">
        <v>126</v>
      </c>
      <c r="F107" s="7"/>
      <c r="G107" s="7"/>
      <c r="H107" s="7">
        <v>1.0920000000000001</v>
      </c>
      <c r="I107" s="7">
        <v>0.70720000000000005</v>
      </c>
      <c r="J107" s="7"/>
      <c r="K107" s="7">
        <v>844</v>
      </c>
      <c r="L107" s="7"/>
      <c r="M107" s="7"/>
      <c r="N107" s="7">
        <v>15400</v>
      </c>
      <c r="O107" s="7">
        <v>1.9199999999999998E-2</v>
      </c>
      <c r="P107" s="7">
        <v>2.3900000000000001E-2</v>
      </c>
      <c r="Q107" s="8">
        <v>948</v>
      </c>
      <c r="R107">
        <f t="shared" si="1"/>
        <v>3.49E-2</v>
      </c>
      <c r="S107" s="7"/>
      <c r="T107" s="7"/>
      <c r="U107" s="7"/>
    </row>
    <row r="108" spans="1:21" x14ac:dyDescent="0.25">
      <c r="A108" s="7" t="s">
        <v>153</v>
      </c>
      <c r="B108" s="8">
        <v>900</v>
      </c>
      <c r="C108" s="8">
        <v>61</v>
      </c>
      <c r="D108" s="9" t="s">
        <v>115</v>
      </c>
      <c r="E108" s="7" t="s">
        <v>126</v>
      </c>
      <c r="F108" s="7"/>
      <c r="G108" s="7"/>
      <c r="H108" s="7">
        <v>1.093</v>
      </c>
      <c r="I108" s="7">
        <v>0.70720000000000005</v>
      </c>
      <c r="J108" s="7"/>
      <c r="K108" s="7">
        <v>844</v>
      </c>
      <c r="L108" s="7"/>
      <c r="M108" s="7"/>
      <c r="N108" s="7">
        <v>15900</v>
      </c>
      <c r="O108" s="7">
        <v>1.9199999999999998E-2</v>
      </c>
      <c r="P108" s="7">
        <v>2.3900000000000001E-2</v>
      </c>
      <c r="Q108" s="8">
        <v>948</v>
      </c>
      <c r="R108" t="str">
        <f t="shared" si="1"/>
        <v/>
      </c>
      <c r="S108" s="7"/>
      <c r="T108" s="7"/>
      <c r="U108" s="7"/>
    </row>
    <row r="109" spans="1:21" x14ac:dyDescent="0.25">
      <c r="A109" s="7" t="s">
        <v>154</v>
      </c>
      <c r="B109" s="8">
        <v>954</v>
      </c>
      <c r="C109" s="8">
        <v>37</v>
      </c>
      <c r="D109" s="9" t="s">
        <v>115</v>
      </c>
      <c r="E109" s="7" t="s">
        <v>126</v>
      </c>
      <c r="F109" s="7"/>
      <c r="G109" s="7"/>
      <c r="H109" s="7">
        <v>1.1240000000000001</v>
      </c>
      <c r="I109" s="7">
        <v>0.74950000000000006</v>
      </c>
      <c r="J109" s="7"/>
      <c r="K109" s="7">
        <v>894</v>
      </c>
      <c r="L109" s="7"/>
      <c r="M109" s="7"/>
      <c r="N109" s="7">
        <v>16400</v>
      </c>
      <c r="O109" s="7">
        <v>1.8100000000000002E-2</v>
      </c>
      <c r="P109" s="7">
        <v>2.2599999999999999E-2</v>
      </c>
      <c r="Q109" s="8">
        <v>982</v>
      </c>
      <c r="R109">
        <f t="shared" si="1"/>
        <v>3.5999999999999997E-2</v>
      </c>
      <c r="S109" s="7"/>
      <c r="T109" s="7"/>
      <c r="U109" s="7"/>
    </row>
    <row r="110" spans="1:21" x14ac:dyDescent="0.25">
      <c r="A110" t="s">
        <v>155</v>
      </c>
      <c r="B110" s="4">
        <v>954</v>
      </c>
      <c r="C110" s="4">
        <v>61</v>
      </c>
      <c r="D110" s="9" t="s">
        <v>115</v>
      </c>
      <c r="E110" t="s">
        <v>116</v>
      </c>
      <c r="H110">
        <v>1.125</v>
      </c>
      <c r="I110">
        <v>0.74980000000000002</v>
      </c>
      <c r="K110">
        <v>894</v>
      </c>
      <c r="N110">
        <v>16900</v>
      </c>
      <c r="O110">
        <v>1.8100000000000002E-2</v>
      </c>
      <c r="P110">
        <v>2.2599999999999999E-2</v>
      </c>
      <c r="Q110" s="4">
        <v>983</v>
      </c>
      <c r="R110">
        <f t="shared" si="1"/>
        <v>3.6200000000000003E-2</v>
      </c>
    </row>
    <row r="111" spans="1:21" x14ac:dyDescent="0.25">
      <c r="A111" t="s">
        <v>156</v>
      </c>
      <c r="B111" s="4">
        <v>1000</v>
      </c>
      <c r="C111" s="4">
        <v>37</v>
      </c>
      <c r="D111" s="9" t="s">
        <v>115</v>
      </c>
      <c r="E111" t="s">
        <v>126</v>
      </c>
      <c r="H111">
        <v>1.151</v>
      </c>
      <c r="I111">
        <v>0.78539999999999999</v>
      </c>
      <c r="K111">
        <v>937</v>
      </c>
      <c r="N111">
        <v>17200</v>
      </c>
      <c r="O111">
        <v>1.7299999999999999E-2</v>
      </c>
      <c r="P111">
        <v>2.1600000000000001E-2</v>
      </c>
      <c r="Q111" s="4">
        <v>1010</v>
      </c>
      <c r="R111">
        <f t="shared" si="1"/>
        <v>3.6799999999999999E-2</v>
      </c>
    </row>
    <row r="112" spans="1:21" x14ac:dyDescent="0.25">
      <c r="A112" t="s">
        <v>157</v>
      </c>
      <c r="B112" s="4">
        <v>1000</v>
      </c>
      <c r="C112" s="4">
        <v>61</v>
      </c>
      <c r="D112" s="9" t="s">
        <v>115</v>
      </c>
      <c r="E112" t="s">
        <v>126</v>
      </c>
      <c r="H112">
        <v>1.1519999999999999</v>
      </c>
      <c r="I112">
        <v>0.78490000000000004</v>
      </c>
      <c r="K112">
        <v>937</v>
      </c>
      <c r="N112">
        <v>17700</v>
      </c>
      <c r="O112">
        <v>7.1300000000000002E-2</v>
      </c>
      <c r="P112">
        <v>2.1600000000000001E-2</v>
      </c>
      <c r="Q112" s="4">
        <v>1011</v>
      </c>
      <c r="R112" t="str">
        <f t="shared" si="1"/>
        <v/>
      </c>
    </row>
    <row r="113" spans="1:18" x14ac:dyDescent="0.25">
      <c r="A113" t="s">
        <v>158</v>
      </c>
      <c r="B113" s="4">
        <v>1033.5</v>
      </c>
      <c r="C113" s="4">
        <v>37</v>
      </c>
      <c r="D113" s="9" t="s">
        <v>115</v>
      </c>
      <c r="E113" t="s">
        <v>126</v>
      </c>
      <c r="H113">
        <v>1.17</v>
      </c>
      <c r="I113">
        <v>0.81140000000000001</v>
      </c>
      <c r="K113">
        <v>969</v>
      </c>
      <c r="N113">
        <v>17700</v>
      </c>
      <c r="O113">
        <v>1.67E-2</v>
      </c>
      <c r="P113">
        <v>2.1000000000000001E-2</v>
      </c>
      <c r="Q113" s="4">
        <v>1031</v>
      </c>
      <c r="R113">
        <f t="shared" si="1"/>
        <v>3.7400000000000003E-2</v>
      </c>
    </row>
    <row r="114" spans="1:18" x14ac:dyDescent="0.25">
      <c r="A114" t="s">
        <v>159</v>
      </c>
      <c r="B114" s="4">
        <v>1033.5</v>
      </c>
      <c r="C114" s="4">
        <v>61</v>
      </c>
      <c r="D114" s="9" t="s">
        <v>115</v>
      </c>
      <c r="E114" t="s">
        <v>126</v>
      </c>
      <c r="H114">
        <v>1.171</v>
      </c>
      <c r="I114">
        <v>0.81220000000000003</v>
      </c>
      <c r="K114">
        <v>969</v>
      </c>
      <c r="N114">
        <v>18300</v>
      </c>
      <c r="O114">
        <v>1.67E-2</v>
      </c>
      <c r="P114">
        <v>2.1000000000000001E-2</v>
      </c>
      <c r="Q114" s="4">
        <v>1032</v>
      </c>
      <c r="R114">
        <f t="shared" si="1"/>
        <v>3.7699999999999997E-2</v>
      </c>
    </row>
    <row r="115" spans="1:18" x14ac:dyDescent="0.25">
      <c r="A115" t="s">
        <v>160</v>
      </c>
      <c r="B115" s="4">
        <v>1113</v>
      </c>
      <c r="C115" s="4">
        <v>61</v>
      </c>
      <c r="D115" s="9" t="s">
        <v>115</v>
      </c>
      <c r="E115" t="s">
        <v>119</v>
      </c>
      <c r="H115">
        <v>1.216</v>
      </c>
      <c r="I115">
        <v>0.87439999999999996</v>
      </c>
      <c r="K115">
        <v>1043</v>
      </c>
      <c r="N115">
        <v>19700</v>
      </c>
      <c r="O115">
        <v>1.55E-2</v>
      </c>
      <c r="P115">
        <v>1.95E-2</v>
      </c>
      <c r="Q115" s="4">
        <v>1079</v>
      </c>
      <c r="R115">
        <f t="shared" si="1"/>
        <v>3.9100000000000003E-2</v>
      </c>
    </row>
    <row r="116" spans="1:18" x14ac:dyDescent="0.25">
      <c r="A116" t="s">
        <v>161</v>
      </c>
      <c r="B116" s="4">
        <v>1192.5</v>
      </c>
      <c r="C116" s="4">
        <v>61</v>
      </c>
      <c r="D116" s="9" t="s">
        <v>115</v>
      </c>
      <c r="E116" t="s">
        <v>119</v>
      </c>
      <c r="H116">
        <v>1.258</v>
      </c>
      <c r="I116">
        <v>0.93630000000000002</v>
      </c>
      <c r="K116">
        <v>1118</v>
      </c>
      <c r="N116">
        <v>21100</v>
      </c>
      <c r="O116">
        <v>1.4500000000000001E-2</v>
      </c>
      <c r="P116">
        <v>1.83E-2</v>
      </c>
      <c r="Q116" s="4">
        <v>1124</v>
      </c>
      <c r="R116">
        <f t="shared" si="1"/>
        <v>4.0500000000000001E-2</v>
      </c>
    </row>
    <row r="117" spans="1:18" x14ac:dyDescent="0.25">
      <c r="A117" t="s">
        <v>162</v>
      </c>
      <c r="B117" s="4">
        <v>1272</v>
      </c>
      <c r="C117" s="4">
        <v>61</v>
      </c>
      <c r="D117" s="9" t="s">
        <v>115</v>
      </c>
      <c r="E117" t="s">
        <v>119</v>
      </c>
      <c r="H117">
        <v>1.3</v>
      </c>
      <c r="I117">
        <v>0.999</v>
      </c>
      <c r="K117">
        <v>1192</v>
      </c>
      <c r="N117">
        <v>22000</v>
      </c>
      <c r="O117">
        <v>1.3599999999999999E-2</v>
      </c>
      <c r="P117">
        <v>1.7299999999999999E-2</v>
      </c>
      <c r="Q117" s="4">
        <v>1169</v>
      </c>
      <c r="R117">
        <f t="shared" si="1"/>
        <v>4.1799999999999997E-2</v>
      </c>
    </row>
    <row r="118" spans="1:18" x14ac:dyDescent="0.25">
      <c r="A118" t="s">
        <v>163</v>
      </c>
      <c r="B118" s="4">
        <v>1351.5</v>
      </c>
      <c r="C118" s="4">
        <v>61</v>
      </c>
      <c r="D118" s="9" t="s">
        <v>115</v>
      </c>
      <c r="E118" t="s">
        <v>119</v>
      </c>
      <c r="H118">
        <v>1.34</v>
      </c>
      <c r="I118">
        <v>1.0608</v>
      </c>
      <c r="K118">
        <v>1267</v>
      </c>
      <c r="N118">
        <v>23400</v>
      </c>
      <c r="O118">
        <v>1.2800000000000001E-2</v>
      </c>
      <c r="P118">
        <v>1.6299999999999999E-2</v>
      </c>
      <c r="Q118" s="4">
        <v>1212</v>
      </c>
      <c r="R118">
        <f t="shared" si="1"/>
        <v>4.3099999999999999E-2</v>
      </c>
    </row>
    <row r="119" spans="1:18" x14ac:dyDescent="0.25">
      <c r="A119" t="s">
        <v>164</v>
      </c>
      <c r="B119" s="4">
        <v>1431</v>
      </c>
      <c r="C119" s="4">
        <v>61</v>
      </c>
      <c r="D119" s="9" t="s">
        <v>115</v>
      </c>
      <c r="E119" t="s">
        <v>119</v>
      </c>
      <c r="H119">
        <v>1.3779999999999999</v>
      </c>
      <c r="I119">
        <v>1.1244000000000001</v>
      </c>
      <c r="K119">
        <v>1341</v>
      </c>
      <c r="N119">
        <v>24300</v>
      </c>
      <c r="O119">
        <v>1.21E-2</v>
      </c>
      <c r="P119">
        <v>1.55E-2</v>
      </c>
      <c r="Q119" s="4">
        <v>1253</v>
      </c>
      <c r="R119">
        <f t="shared" si="1"/>
        <v>4.4400000000000002E-2</v>
      </c>
    </row>
    <row r="120" spans="1:18" x14ac:dyDescent="0.25">
      <c r="A120" t="s">
        <v>165</v>
      </c>
      <c r="B120" s="4">
        <v>1510.5</v>
      </c>
      <c r="C120" s="4">
        <v>61</v>
      </c>
      <c r="D120" s="9" t="s">
        <v>115</v>
      </c>
      <c r="E120" t="s">
        <v>116</v>
      </c>
      <c r="H120">
        <v>1.4159999999999999</v>
      </c>
      <c r="I120">
        <v>1.1869000000000001</v>
      </c>
      <c r="K120">
        <v>1416</v>
      </c>
      <c r="N120">
        <v>25600</v>
      </c>
      <c r="O120">
        <v>1.44E-2</v>
      </c>
      <c r="P120">
        <v>1.47E-2</v>
      </c>
      <c r="Q120" s="4">
        <v>1294</v>
      </c>
      <c r="R120" t="str">
        <f t="shared" si="1"/>
        <v/>
      </c>
    </row>
    <row r="121" spans="1:18" x14ac:dyDescent="0.25">
      <c r="A121" t="s">
        <v>166</v>
      </c>
      <c r="B121" s="4">
        <v>1590</v>
      </c>
      <c r="C121" s="4">
        <v>61</v>
      </c>
      <c r="D121" s="9" t="s">
        <v>115</v>
      </c>
      <c r="E121" t="s">
        <v>126</v>
      </c>
      <c r="H121">
        <v>1.4530000000000001</v>
      </c>
      <c r="I121">
        <v>1.248</v>
      </c>
      <c r="K121">
        <v>1490</v>
      </c>
      <c r="N121">
        <v>27000</v>
      </c>
      <c r="O121">
        <v>1.09E-2</v>
      </c>
      <c r="P121">
        <v>1.41E-2</v>
      </c>
      <c r="Q121" s="4">
        <v>1333</v>
      </c>
      <c r="R121">
        <f t="shared" si="1"/>
        <v>4.6800000000000001E-2</v>
      </c>
    </row>
    <row r="122" spans="1:18" x14ac:dyDescent="0.25">
      <c r="A122" t="s">
        <v>167</v>
      </c>
      <c r="B122" s="4">
        <v>1750</v>
      </c>
      <c r="C122" s="4">
        <v>61</v>
      </c>
      <c r="D122" s="9" t="s">
        <v>115</v>
      </c>
      <c r="E122" t="s">
        <v>126</v>
      </c>
      <c r="H122">
        <v>1.524</v>
      </c>
      <c r="I122">
        <v>1.3748</v>
      </c>
      <c r="K122">
        <v>1640</v>
      </c>
      <c r="N122">
        <v>29700</v>
      </c>
      <c r="O122">
        <v>9.8799999999999999E-3</v>
      </c>
      <c r="P122">
        <v>1.29E-2</v>
      </c>
      <c r="Q122" s="4">
        <v>1408</v>
      </c>
      <c r="R122">
        <f t="shared" si="1"/>
        <v>4.9000000000000002E-2</v>
      </c>
    </row>
    <row r="123" spans="1:18" x14ac:dyDescent="0.25">
      <c r="A123" t="s">
        <v>168</v>
      </c>
      <c r="B123" s="4">
        <v>2000</v>
      </c>
      <c r="C123" s="4">
        <v>91</v>
      </c>
      <c r="D123" s="9" t="s">
        <v>115</v>
      </c>
      <c r="E123" t="s">
        <v>116</v>
      </c>
      <c r="H123">
        <v>1.631</v>
      </c>
      <c r="I123">
        <v>1.5697000000000001</v>
      </c>
      <c r="K123">
        <v>1875</v>
      </c>
      <c r="N123">
        <v>34200</v>
      </c>
      <c r="O123">
        <v>8.6400000000000001E-3</v>
      </c>
      <c r="P123">
        <v>1.15E-2</v>
      </c>
      <c r="Q123" s="4">
        <v>1518</v>
      </c>
      <c r="R123">
        <f t="shared" si="1"/>
        <v>5.2499999999999998E-2</v>
      </c>
    </row>
    <row r="124" spans="1:18" x14ac:dyDescent="0.25">
      <c r="A124" t="s">
        <v>169</v>
      </c>
      <c r="B124" s="4">
        <v>2250</v>
      </c>
      <c r="C124" s="4">
        <v>91</v>
      </c>
      <c r="D124" s="9" t="s">
        <v>115</v>
      </c>
      <c r="E124" t="s">
        <v>116</v>
      </c>
      <c r="H124">
        <v>1.73</v>
      </c>
      <c r="I124">
        <v>1.7662</v>
      </c>
      <c r="K124">
        <v>2130</v>
      </c>
      <c r="N124">
        <v>37500</v>
      </c>
      <c r="O124">
        <v>7.7600000000000004E-3</v>
      </c>
      <c r="P124">
        <v>1.0500000000000001E-2</v>
      </c>
      <c r="Q124" s="4">
        <v>1612</v>
      </c>
      <c r="R124" t="str">
        <f t="shared" si="1"/>
        <v/>
      </c>
    </row>
    <row r="125" spans="1:18" x14ac:dyDescent="0.25">
      <c r="A125" t="s">
        <v>170</v>
      </c>
      <c r="B125" s="4">
        <v>2500</v>
      </c>
      <c r="C125" s="4">
        <v>91</v>
      </c>
      <c r="D125" s="9" t="s">
        <v>115</v>
      </c>
      <c r="E125" t="s">
        <v>116</v>
      </c>
      <c r="H125">
        <v>1.823</v>
      </c>
      <c r="I125">
        <v>1.9622999999999999</v>
      </c>
      <c r="K125">
        <v>2366</v>
      </c>
      <c r="N125">
        <v>41900</v>
      </c>
      <c r="O125">
        <v>6.9800000000000001E-3</v>
      </c>
      <c r="P125">
        <v>9.6900000000000007E-3</v>
      </c>
      <c r="Q125" s="4">
        <v>1706</v>
      </c>
      <c r="R125">
        <f t="shared" si="1"/>
        <v>5.8799999999999998E-2</v>
      </c>
    </row>
    <row r="126" spans="1:18" x14ac:dyDescent="0.25">
      <c r="A126" t="s">
        <v>171</v>
      </c>
      <c r="B126" s="4">
        <v>2750</v>
      </c>
      <c r="C126" s="4">
        <v>91</v>
      </c>
      <c r="D126" s="9" t="s">
        <v>115</v>
      </c>
      <c r="E126" t="s">
        <v>116</v>
      </c>
      <c r="H126">
        <v>1.9119999999999999</v>
      </c>
      <c r="I126">
        <v>2.1589</v>
      </c>
      <c r="K126">
        <v>2603</v>
      </c>
      <c r="N126">
        <v>46100</v>
      </c>
      <c r="O126">
        <v>6.3499999999999997E-3</v>
      </c>
      <c r="P126">
        <v>8.9999999999999993E-3</v>
      </c>
      <c r="Q126" s="4">
        <v>1793</v>
      </c>
      <c r="R126" t="str">
        <f t="shared" si="1"/>
        <v/>
      </c>
    </row>
    <row r="127" spans="1:18" x14ac:dyDescent="0.25">
      <c r="A127" t="s">
        <v>172</v>
      </c>
      <c r="B127" s="4">
        <v>3000</v>
      </c>
      <c r="C127" s="4">
        <v>127</v>
      </c>
      <c r="D127" s="9" t="s">
        <v>115</v>
      </c>
      <c r="E127" t="s">
        <v>116</v>
      </c>
      <c r="H127">
        <v>1.998</v>
      </c>
      <c r="I127">
        <v>2.3563999999999998</v>
      </c>
      <c r="K127">
        <v>2839</v>
      </c>
      <c r="N127">
        <v>50300</v>
      </c>
      <c r="O127">
        <v>5.8199999999999997E-3</v>
      </c>
      <c r="P127">
        <v>8.3400000000000002E-3</v>
      </c>
      <c r="Q127" s="4">
        <v>1874</v>
      </c>
      <c r="R127">
        <f t="shared" si="1"/>
        <v>6.4600000000000005E-2</v>
      </c>
    </row>
    <row r="128" spans="1:18" x14ac:dyDescent="0.25">
      <c r="A128" t="s">
        <v>173</v>
      </c>
      <c r="B128" s="4">
        <v>3500</v>
      </c>
      <c r="C128" s="4">
        <v>127</v>
      </c>
      <c r="D128" s="9" t="s">
        <v>115</v>
      </c>
      <c r="E128" t="s">
        <v>116</v>
      </c>
      <c r="H128">
        <v>2.1579999999999999</v>
      </c>
      <c r="I128">
        <v>2.7486000000000002</v>
      </c>
      <c r="K128">
        <v>3345</v>
      </c>
      <c r="N128">
        <v>58700</v>
      </c>
      <c r="O128">
        <v>4.9899999999999996E-3</v>
      </c>
      <c r="P128">
        <v>7.5599999999999999E-3</v>
      </c>
      <c r="Q128" s="4">
        <v>2024</v>
      </c>
      <c r="R128">
        <f t="shared" si="1"/>
        <v>6.9699999999999998E-2</v>
      </c>
    </row>
    <row r="129" spans="1:18" x14ac:dyDescent="0.25">
      <c r="A129" t="s">
        <v>178</v>
      </c>
      <c r="B129" s="26" t="s">
        <v>175</v>
      </c>
      <c r="C129" s="26">
        <v>3</v>
      </c>
      <c r="D129" s="9" t="s">
        <v>234</v>
      </c>
      <c r="E129" s="25"/>
      <c r="H129">
        <v>0.25</v>
      </c>
      <c r="K129">
        <v>117</v>
      </c>
      <c r="N129">
        <v>3150</v>
      </c>
      <c r="Q129" s="26"/>
      <c r="R129" t="str">
        <f t="shared" si="1"/>
        <v/>
      </c>
    </row>
    <row r="130" spans="1:18" x14ac:dyDescent="0.25">
      <c r="A130" t="s">
        <v>178</v>
      </c>
      <c r="B130" s="26" t="s">
        <v>175</v>
      </c>
      <c r="C130" s="26">
        <v>3</v>
      </c>
      <c r="D130" s="9" t="s">
        <v>234</v>
      </c>
      <c r="E130" s="25"/>
      <c r="H130">
        <v>0.25</v>
      </c>
      <c r="K130">
        <v>117</v>
      </c>
      <c r="N130">
        <v>4500</v>
      </c>
      <c r="Q130" s="26"/>
      <c r="R130" t="str">
        <f t="shared" si="1"/>
        <v/>
      </c>
    </row>
    <row r="131" spans="1:18" x14ac:dyDescent="0.25">
      <c r="A131" t="s">
        <v>176</v>
      </c>
      <c r="B131" s="26" t="s">
        <v>175</v>
      </c>
      <c r="C131" s="26">
        <v>3</v>
      </c>
      <c r="D131" s="9" t="s">
        <v>234</v>
      </c>
      <c r="E131" s="25"/>
      <c r="H131">
        <v>0.3125</v>
      </c>
      <c r="K131">
        <v>171</v>
      </c>
      <c r="N131">
        <v>6500</v>
      </c>
      <c r="Q131" s="26"/>
      <c r="R131" t="str">
        <f t="shared" si="1"/>
        <v/>
      </c>
    </row>
    <row r="132" spans="1:18" x14ac:dyDescent="0.25">
      <c r="A132" t="s">
        <v>321</v>
      </c>
      <c r="B132" s="26" t="s">
        <v>175</v>
      </c>
      <c r="C132" s="26">
        <v>3</v>
      </c>
      <c r="D132" s="9" t="s">
        <v>234</v>
      </c>
      <c r="E132" s="25"/>
      <c r="H132">
        <v>0.375</v>
      </c>
      <c r="K132">
        <v>220</v>
      </c>
      <c r="N132">
        <v>8500</v>
      </c>
      <c r="Q132" s="26"/>
      <c r="R132" t="str">
        <f t="shared" ref="R132:R195" si="2">IF(ISNA(VLOOKUP(A132,x,4,FALSE)),"",VLOOKUP(A132,x,4,FALSE))</f>
        <v/>
      </c>
    </row>
    <row r="133" spans="1:18" x14ac:dyDescent="0.25">
      <c r="A133" t="s">
        <v>179</v>
      </c>
      <c r="B133" s="26" t="s">
        <v>175</v>
      </c>
      <c r="C133" s="26">
        <v>7</v>
      </c>
      <c r="D133" s="9" t="s">
        <v>234</v>
      </c>
      <c r="E133" s="25"/>
      <c r="H133">
        <v>0.1875</v>
      </c>
      <c r="K133">
        <v>80</v>
      </c>
      <c r="N133">
        <v>2400</v>
      </c>
      <c r="Q133" s="26"/>
      <c r="R133" t="str">
        <f t="shared" si="2"/>
        <v/>
      </c>
    </row>
    <row r="134" spans="1:18" x14ac:dyDescent="0.25">
      <c r="A134" t="s">
        <v>177</v>
      </c>
      <c r="B134" s="26" t="s">
        <v>175</v>
      </c>
      <c r="C134" s="26">
        <v>7</v>
      </c>
      <c r="D134" s="9" t="s">
        <v>234</v>
      </c>
      <c r="E134" s="25"/>
      <c r="H134">
        <v>0.28129999999999999</v>
      </c>
      <c r="K134">
        <v>164</v>
      </c>
      <c r="N134">
        <v>4600</v>
      </c>
      <c r="Q134" s="26"/>
      <c r="R134" t="str">
        <f t="shared" si="2"/>
        <v/>
      </c>
    </row>
    <row r="135" spans="1:18" x14ac:dyDescent="0.25">
      <c r="A135" t="s">
        <v>176</v>
      </c>
      <c r="B135" s="26" t="s">
        <v>175</v>
      </c>
      <c r="C135" s="26">
        <v>7</v>
      </c>
      <c r="D135" s="9" t="s">
        <v>234</v>
      </c>
      <c r="E135" s="25"/>
      <c r="H135">
        <v>0.3125</v>
      </c>
      <c r="K135">
        <v>225</v>
      </c>
      <c r="N135">
        <v>6000</v>
      </c>
      <c r="Q135" s="26"/>
      <c r="R135" t="str">
        <f t="shared" si="2"/>
        <v/>
      </c>
    </row>
    <row r="136" spans="1:18" x14ac:dyDescent="0.25">
      <c r="A136" t="s">
        <v>321</v>
      </c>
      <c r="B136" s="26" t="s">
        <v>175</v>
      </c>
      <c r="C136" s="26">
        <v>7</v>
      </c>
      <c r="D136" s="9" t="s">
        <v>234</v>
      </c>
      <c r="E136" s="25"/>
      <c r="H136">
        <v>0.375</v>
      </c>
      <c r="K136">
        <v>273</v>
      </c>
      <c r="N136">
        <v>11500</v>
      </c>
      <c r="Q136" s="26"/>
      <c r="R136" t="str">
        <f t="shared" si="2"/>
        <v/>
      </c>
    </row>
    <row r="137" spans="1:18" x14ac:dyDescent="0.25">
      <c r="A137" t="s">
        <v>322</v>
      </c>
      <c r="B137" s="26" t="s">
        <v>175</v>
      </c>
      <c r="C137" s="26">
        <v>7</v>
      </c>
      <c r="D137" s="9" t="s">
        <v>234</v>
      </c>
      <c r="E137" s="25"/>
      <c r="H137">
        <v>0.4375</v>
      </c>
      <c r="K137">
        <v>399</v>
      </c>
      <c r="N137">
        <v>18000</v>
      </c>
      <c r="Q137" s="26"/>
      <c r="R137" t="str">
        <f t="shared" si="2"/>
        <v/>
      </c>
    </row>
    <row r="138" spans="1:18" x14ac:dyDescent="0.25">
      <c r="A138" t="s">
        <v>323</v>
      </c>
      <c r="B138" s="26" t="s">
        <v>175</v>
      </c>
      <c r="C138" s="26">
        <v>7</v>
      </c>
      <c r="D138" s="9" t="s">
        <v>234</v>
      </c>
      <c r="E138" s="25"/>
      <c r="H138">
        <v>0.5</v>
      </c>
      <c r="K138">
        <v>517</v>
      </c>
      <c r="N138">
        <v>25000</v>
      </c>
      <c r="Q138" s="26"/>
      <c r="R138" t="str">
        <f t="shared" si="2"/>
        <v/>
      </c>
    </row>
    <row r="139" spans="1:18" x14ac:dyDescent="0.25">
      <c r="A139" t="s">
        <v>186</v>
      </c>
      <c r="B139" s="26" t="s">
        <v>181</v>
      </c>
      <c r="C139" s="26">
        <v>3</v>
      </c>
      <c r="D139" s="9" t="s">
        <v>234</v>
      </c>
      <c r="E139" s="25"/>
      <c r="H139">
        <v>0.25</v>
      </c>
      <c r="K139">
        <v>117</v>
      </c>
      <c r="N139">
        <v>1860</v>
      </c>
      <c r="Q139" s="26"/>
      <c r="R139" t="str">
        <f t="shared" si="2"/>
        <v/>
      </c>
    </row>
    <row r="140" spans="1:18" x14ac:dyDescent="0.25">
      <c r="A140" t="s">
        <v>184</v>
      </c>
      <c r="B140" s="26" t="s">
        <v>181</v>
      </c>
      <c r="C140" s="26">
        <v>3</v>
      </c>
      <c r="D140" s="9" t="s">
        <v>234</v>
      </c>
      <c r="E140" s="25"/>
      <c r="H140">
        <v>0.3125</v>
      </c>
      <c r="K140">
        <v>171</v>
      </c>
      <c r="N140">
        <v>2490</v>
      </c>
      <c r="Q140" s="26"/>
      <c r="R140" t="str">
        <f t="shared" si="2"/>
        <v/>
      </c>
    </row>
    <row r="141" spans="1:18" x14ac:dyDescent="0.25">
      <c r="A141" t="s">
        <v>183</v>
      </c>
      <c r="B141" s="26" t="s">
        <v>181</v>
      </c>
      <c r="C141" s="26">
        <v>3</v>
      </c>
      <c r="D141" s="9" t="s">
        <v>234</v>
      </c>
      <c r="E141" s="25"/>
      <c r="H141">
        <v>0.375</v>
      </c>
      <c r="K141">
        <v>220</v>
      </c>
      <c r="N141">
        <v>3330</v>
      </c>
      <c r="Q141" s="26"/>
      <c r="R141" t="str">
        <f t="shared" si="2"/>
        <v/>
      </c>
    </row>
    <row r="142" spans="1:18" x14ac:dyDescent="0.25">
      <c r="A142" t="s">
        <v>187</v>
      </c>
      <c r="B142" s="26" t="s">
        <v>181</v>
      </c>
      <c r="C142" s="26">
        <v>7</v>
      </c>
      <c r="D142" s="9" t="s">
        <v>234</v>
      </c>
      <c r="E142" s="25"/>
      <c r="H142">
        <v>0.1875</v>
      </c>
      <c r="K142">
        <v>73</v>
      </c>
      <c r="N142">
        <v>1150</v>
      </c>
      <c r="Q142" s="26"/>
      <c r="R142" t="str">
        <f t="shared" si="2"/>
        <v/>
      </c>
    </row>
    <row r="143" spans="1:18" x14ac:dyDescent="0.25">
      <c r="A143" t="s">
        <v>193</v>
      </c>
      <c r="B143" s="26" t="s">
        <v>181</v>
      </c>
      <c r="C143" s="26">
        <v>7</v>
      </c>
      <c r="D143" s="9" t="s">
        <v>234</v>
      </c>
      <c r="E143" s="25"/>
      <c r="H143">
        <v>0.21879999999999999</v>
      </c>
      <c r="K143">
        <v>98</v>
      </c>
      <c r="N143">
        <v>1540</v>
      </c>
      <c r="Q143" s="26"/>
      <c r="R143" t="str">
        <f t="shared" si="2"/>
        <v/>
      </c>
    </row>
    <row r="144" spans="1:18" x14ac:dyDescent="0.25">
      <c r="A144" t="s">
        <v>186</v>
      </c>
      <c r="B144" s="26" t="s">
        <v>181</v>
      </c>
      <c r="C144" s="26">
        <v>7</v>
      </c>
      <c r="D144" s="9" t="s">
        <v>234</v>
      </c>
      <c r="E144" s="25"/>
      <c r="H144">
        <v>0.25</v>
      </c>
      <c r="K144">
        <v>121</v>
      </c>
      <c r="N144">
        <v>1900</v>
      </c>
      <c r="Q144" s="26"/>
      <c r="R144" t="str">
        <f t="shared" si="2"/>
        <v/>
      </c>
    </row>
    <row r="145" spans="1:18" x14ac:dyDescent="0.25">
      <c r="A145" t="s">
        <v>185</v>
      </c>
      <c r="B145" s="26" t="s">
        <v>181</v>
      </c>
      <c r="C145" s="26">
        <v>7</v>
      </c>
      <c r="D145" s="9" t="s">
        <v>234</v>
      </c>
      <c r="E145" s="25"/>
      <c r="H145">
        <v>0.28129999999999999</v>
      </c>
      <c r="K145">
        <v>164</v>
      </c>
      <c r="N145">
        <v>2570</v>
      </c>
      <c r="Q145" s="26"/>
      <c r="R145" t="str">
        <f t="shared" si="2"/>
        <v/>
      </c>
    </row>
    <row r="146" spans="1:18" x14ac:dyDescent="0.25">
      <c r="A146" t="s">
        <v>184</v>
      </c>
      <c r="B146" s="26" t="s">
        <v>181</v>
      </c>
      <c r="C146" s="26">
        <v>7</v>
      </c>
      <c r="D146" s="9" t="s">
        <v>234</v>
      </c>
      <c r="E146" s="25"/>
      <c r="H146">
        <v>0.3125</v>
      </c>
      <c r="K146">
        <v>205</v>
      </c>
      <c r="N146">
        <v>3200</v>
      </c>
      <c r="Q146" s="26"/>
      <c r="R146" t="str">
        <f t="shared" si="2"/>
        <v/>
      </c>
    </row>
    <row r="147" spans="1:18" x14ac:dyDescent="0.25">
      <c r="A147" t="s">
        <v>183</v>
      </c>
      <c r="B147" s="26" t="s">
        <v>181</v>
      </c>
      <c r="C147" s="26">
        <v>7</v>
      </c>
      <c r="D147" s="9" t="s">
        <v>234</v>
      </c>
      <c r="E147" s="25"/>
      <c r="H147">
        <v>0.375</v>
      </c>
      <c r="K147">
        <v>273</v>
      </c>
      <c r="N147">
        <v>4250</v>
      </c>
      <c r="Q147" s="26"/>
      <c r="R147" t="str">
        <f t="shared" si="2"/>
        <v/>
      </c>
    </row>
    <row r="148" spans="1:18" x14ac:dyDescent="0.25">
      <c r="A148" t="s">
        <v>182</v>
      </c>
      <c r="B148" s="26" t="s">
        <v>181</v>
      </c>
      <c r="C148" s="26">
        <v>7</v>
      </c>
      <c r="D148" s="9" t="s">
        <v>234</v>
      </c>
      <c r="E148" s="25"/>
      <c r="H148">
        <v>0.4375</v>
      </c>
      <c r="K148">
        <v>399</v>
      </c>
      <c r="N148">
        <v>5700</v>
      </c>
      <c r="Q148" s="26"/>
      <c r="R148" t="str">
        <f t="shared" si="2"/>
        <v/>
      </c>
    </row>
    <row r="149" spans="1:18" x14ac:dyDescent="0.25">
      <c r="A149" t="s">
        <v>180</v>
      </c>
      <c r="B149" s="26" t="s">
        <v>181</v>
      </c>
      <c r="C149" s="26">
        <v>7</v>
      </c>
      <c r="D149" s="9" t="s">
        <v>234</v>
      </c>
      <c r="E149" s="25"/>
      <c r="H149">
        <v>0.5</v>
      </c>
      <c r="K149">
        <v>517</v>
      </c>
      <c r="N149">
        <v>7400</v>
      </c>
      <c r="Q149" s="26"/>
      <c r="R149" t="str">
        <f t="shared" si="2"/>
        <v/>
      </c>
    </row>
    <row r="150" spans="1:18" x14ac:dyDescent="0.25">
      <c r="A150" t="s">
        <v>192</v>
      </c>
      <c r="B150" s="26" t="s">
        <v>181</v>
      </c>
      <c r="C150" s="26">
        <v>7</v>
      </c>
      <c r="D150" s="9" t="s">
        <v>234</v>
      </c>
      <c r="E150" s="25"/>
      <c r="H150">
        <v>0.5625</v>
      </c>
      <c r="K150">
        <v>671</v>
      </c>
      <c r="N150">
        <v>9600</v>
      </c>
      <c r="Q150" s="26"/>
      <c r="R150" t="str">
        <f t="shared" si="2"/>
        <v/>
      </c>
    </row>
    <row r="151" spans="1:18" x14ac:dyDescent="0.25">
      <c r="A151" t="s">
        <v>191</v>
      </c>
      <c r="B151" s="26" t="s">
        <v>181</v>
      </c>
      <c r="C151" s="26">
        <v>7</v>
      </c>
      <c r="D151" s="9" t="s">
        <v>234</v>
      </c>
      <c r="E151" s="25"/>
      <c r="H151">
        <v>0.625</v>
      </c>
      <c r="K151">
        <v>813</v>
      </c>
      <c r="N151">
        <v>11600</v>
      </c>
      <c r="Q151" s="26"/>
      <c r="R151" t="str">
        <f t="shared" si="2"/>
        <v/>
      </c>
    </row>
    <row r="152" spans="1:18" x14ac:dyDescent="0.25">
      <c r="A152" t="s">
        <v>180</v>
      </c>
      <c r="B152" s="26" t="s">
        <v>181</v>
      </c>
      <c r="C152" s="26">
        <v>19</v>
      </c>
      <c r="D152" s="9" t="s">
        <v>234</v>
      </c>
      <c r="E152" s="25"/>
      <c r="H152">
        <v>0.5</v>
      </c>
      <c r="K152">
        <v>504</v>
      </c>
      <c r="N152">
        <v>7620</v>
      </c>
      <c r="Q152" s="26"/>
      <c r="R152" t="str">
        <f t="shared" si="2"/>
        <v/>
      </c>
    </row>
    <row r="153" spans="1:18" x14ac:dyDescent="0.25">
      <c r="A153" t="s">
        <v>192</v>
      </c>
      <c r="B153" s="26" t="s">
        <v>181</v>
      </c>
      <c r="C153" s="26">
        <v>19</v>
      </c>
      <c r="D153" s="9" t="s">
        <v>234</v>
      </c>
      <c r="E153" s="25"/>
      <c r="H153">
        <v>0.5625</v>
      </c>
      <c r="K153">
        <v>637</v>
      </c>
      <c r="N153">
        <v>9640</v>
      </c>
      <c r="Q153" s="26"/>
      <c r="R153" t="str">
        <f t="shared" si="2"/>
        <v/>
      </c>
    </row>
    <row r="154" spans="1:18" x14ac:dyDescent="0.25">
      <c r="A154" t="s">
        <v>191</v>
      </c>
      <c r="B154" s="26" t="s">
        <v>181</v>
      </c>
      <c r="C154" s="26">
        <v>19</v>
      </c>
      <c r="D154" s="9" t="s">
        <v>234</v>
      </c>
      <c r="E154" s="25"/>
      <c r="H154">
        <v>0.625</v>
      </c>
      <c r="K154">
        <v>796</v>
      </c>
      <c r="N154">
        <v>11000</v>
      </c>
      <c r="Q154" s="26"/>
      <c r="R154" t="str">
        <f t="shared" si="2"/>
        <v/>
      </c>
    </row>
    <row r="155" spans="1:18" x14ac:dyDescent="0.25">
      <c r="A155" t="s">
        <v>190</v>
      </c>
      <c r="B155" s="26" t="s">
        <v>181</v>
      </c>
      <c r="C155" s="26">
        <v>19</v>
      </c>
      <c r="D155" s="9" t="s">
        <v>234</v>
      </c>
      <c r="E155" s="25"/>
      <c r="H155">
        <v>0.75</v>
      </c>
      <c r="K155">
        <v>1155</v>
      </c>
      <c r="N155">
        <v>16000</v>
      </c>
      <c r="Q155" s="26"/>
      <c r="R155" t="str">
        <f t="shared" si="2"/>
        <v/>
      </c>
    </row>
    <row r="156" spans="1:18" x14ac:dyDescent="0.25">
      <c r="A156" t="s">
        <v>189</v>
      </c>
      <c r="B156" s="26" t="s">
        <v>181</v>
      </c>
      <c r="C156" s="26">
        <v>19</v>
      </c>
      <c r="D156" s="9" t="s">
        <v>234</v>
      </c>
      <c r="E156" s="25"/>
      <c r="H156">
        <v>0.875</v>
      </c>
      <c r="K156">
        <v>1581</v>
      </c>
      <c r="N156">
        <v>21900</v>
      </c>
      <c r="Q156" s="26"/>
      <c r="R156" t="str">
        <f t="shared" si="2"/>
        <v/>
      </c>
    </row>
    <row r="157" spans="1:18" x14ac:dyDescent="0.25">
      <c r="A157" t="s">
        <v>188</v>
      </c>
      <c r="B157" s="26" t="s">
        <v>181</v>
      </c>
      <c r="C157" s="26">
        <v>19</v>
      </c>
      <c r="D157" s="9" t="s">
        <v>234</v>
      </c>
      <c r="E157" s="25"/>
      <c r="H157">
        <v>1</v>
      </c>
      <c r="K157">
        <v>2073</v>
      </c>
      <c r="N157">
        <v>28700</v>
      </c>
      <c r="Q157" s="26"/>
      <c r="R157" t="str">
        <f t="shared" si="2"/>
        <v/>
      </c>
    </row>
    <row r="158" spans="1:18" x14ac:dyDescent="0.25">
      <c r="A158" t="s">
        <v>199</v>
      </c>
      <c r="B158" s="26" t="s">
        <v>314</v>
      </c>
      <c r="C158" s="26">
        <v>3</v>
      </c>
      <c r="D158" s="9" t="s">
        <v>234</v>
      </c>
      <c r="E158" s="25"/>
      <c r="H158">
        <v>0.25</v>
      </c>
      <c r="K158">
        <v>117</v>
      </c>
      <c r="N158">
        <v>3040</v>
      </c>
      <c r="Q158" s="26"/>
      <c r="R158" t="str">
        <f t="shared" si="2"/>
        <v/>
      </c>
    </row>
    <row r="159" spans="1:18" x14ac:dyDescent="0.25">
      <c r="A159" t="s">
        <v>197</v>
      </c>
      <c r="B159" s="26" t="s">
        <v>314</v>
      </c>
      <c r="C159" s="26">
        <v>3</v>
      </c>
      <c r="D159" s="9" t="s">
        <v>234</v>
      </c>
      <c r="E159" s="25"/>
      <c r="H159">
        <v>0.3125</v>
      </c>
      <c r="K159">
        <v>171</v>
      </c>
      <c r="N159">
        <v>4090</v>
      </c>
      <c r="Q159" s="26"/>
      <c r="R159" t="str">
        <f t="shared" si="2"/>
        <v/>
      </c>
    </row>
    <row r="160" spans="1:18" x14ac:dyDescent="0.25">
      <c r="A160" t="s">
        <v>196</v>
      </c>
      <c r="B160" s="26" t="s">
        <v>314</v>
      </c>
      <c r="C160" s="26">
        <v>3</v>
      </c>
      <c r="D160" s="9" t="s">
        <v>234</v>
      </c>
      <c r="E160" s="25"/>
      <c r="H160">
        <v>0.375</v>
      </c>
      <c r="K160">
        <v>220</v>
      </c>
      <c r="N160">
        <v>5560</v>
      </c>
      <c r="Q160" s="26"/>
      <c r="R160" t="str">
        <f t="shared" si="2"/>
        <v/>
      </c>
    </row>
    <row r="161" spans="1:18" x14ac:dyDescent="0.25">
      <c r="A161" t="s">
        <v>200</v>
      </c>
      <c r="B161" s="26" t="s">
        <v>314</v>
      </c>
      <c r="C161" s="26">
        <v>7</v>
      </c>
      <c r="D161" s="9" t="s">
        <v>234</v>
      </c>
      <c r="E161" s="25"/>
      <c r="H161">
        <v>0.1875</v>
      </c>
      <c r="K161">
        <v>73</v>
      </c>
      <c r="N161">
        <v>1900</v>
      </c>
      <c r="Q161" s="26"/>
      <c r="R161" t="str">
        <f t="shared" si="2"/>
        <v/>
      </c>
    </row>
    <row r="162" spans="1:18" x14ac:dyDescent="0.25">
      <c r="A162" t="s">
        <v>206</v>
      </c>
      <c r="B162" s="26" t="s">
        <v>314</v>
      </c>
      <c r="C162" s="26">
        <v>7</v>
      </c>
      <c r="D162" s="9" t="s">
        <v>234</v>
      </c>
      <c r="E162" s="25"/>
      <c r="H162">
        <v>0.21879999999999999</v>
      </c>
      <c r="K162">
        <v>98</v>
      </c>
      <c r="N162">
        <v>2560</v>
      </c>
      <c r="Q162" s="26"/>
      <c r="R162" t="str">
        <f t="shared" si="2"/>
        <v/>
      </c>
    </row>
    <row r="163" spans="1:18" x14ac:dyDescent="0.25">
      <c r="A163" t="s">
        <v>199</v>
      </c>
      <c r="B163" s="26" t="s">
        <v>314</v>
      </c>
      <c r="C163" s="26">
        <v>7</v>
      </c>
      <c r="D163" s="9" t="s">
        <v>234</v>
      </c>
      <c r="E163" s="25"/>
      <c r="H163">
        <v>0.25</v>
      </c>
      <c r="K163">
        <v>121</v>
      </c>
      <c r="N163">
        <v>3150</v>
      </c>
      <c r="Q163" s="26"/>
      <c r="R163" t="str">
        <f t="shared" si="2"/>
        <v/>
      </c>
    </row>
    <row r="164" spans="1:18" x14ac:dyDescent="0.25">
      <c r="A164" t="s">
        <v>198</v>
      </c>
      <c r="B164" s="26" t="s">
        <v>314</v>
      </c>
      <c r="C164" s="26">
        <v>7</v>
      </c>
      <c r="D164" s="9" t="s">
        <v>234</v>
      </c>
      <c r="E164" s="25"/>
      <c r="H164">
        <v>0.28129999999999999</v>
      </c>
      <c r="K164">
        <v>164</v>
      </c>
      <c r="N164">
        <v>4250</v>
      </c>
      <c r="Q164" s="26"/>
      <c r="R164" t="str">
        <f t="shared" si="2"/>
        <v/>
      </c>
    </row>
    <row r="165" spans="1:18" x14ac:dyDescent="0.25">
      <c r="A165" t="s">
        <v>197</v>
      </c>
      <c r="B165" s="26" t="s">
        <v>314</v>
      </c>
      <c r="C165" s="26">
        <v>7</v>
      </c>
      <c r="D165" s="9" t="s">
        <v>234</v>
      </c>
      <c r="E165" s="25"/>
      <c r="H165">
        <v>0.3125</v>
      </c>
      <c r="K165">
        <v>205</v>
      </c>
      <c r="N165">
        <v>5350</v>
      </c>
      <c r="Q165" s="26"/>
      <c r="R165" t="str">
        <f t="shared" si="2"/>
        <v/>
      </c>
    </row>
    <row r="166" spans="1:18" x14ac:dyDescent="0.25">
      <c r="A166" t="s">
        <v>196</v>
      </c>
      <c r="B166" s="26" t="s">
        <v>314</v>
      </c>
      <c r="C166" s="26">
        <v>7</v>
      </c>
      <c r="D166" s="9" t="s">
        <v>234</v>
      </c>
      <c r="E166" s="25"/>
      <c r="H166">
        <v>0.375</v>
      </c>
      <c r="K166">
        <v>273</v>
      </c>
      <c r="N166">
        <v>6950</v>
      </c>
      <c r="Q166" s="26"/>
      <c r="R166" t="str">
        <f t="shared" si="2"/>
        <v/>
      </c>
    </row>
    <row r="167" spans="1:18" x14ac:dyDescent="0.25">
      <c r="A167" t="s">
        <v>195</v>
      </c>
      <c r="B167" s="26" t="s">
        <v>314</v>
      </c>
      <c r="C167" s="26">
        <v>7</v>
      </c>
      <c r="D167" s="9" t="s">
        <v>234</v>
      </c>
      <c r="E167" s="25"/>
      <c r="H167">
        <v>0.4375</v>
      </c>
      <c r="K167">
        <v>399</v>
      </c>
      <c r="N167">
        <v>9350</v>
      </c>
      <c r="Q167" s="26"/>
      <c r="R167" t="str">
        <f t="shared" si="2"/>
        <v/>
      </c>
    </row>
    <row r="168" spans="1:18" x14ac:dyDescent="0.25">
      <c r="A168" t="s">
        <v>194</v>
      </c>
      <c r="B168" s="26" t="s">
        <v>314</v>
      </c>
      <c r="C168" s="26">
        <v>7</v>
      </c>
      <c r="D168" s="9" t="s">
        <v>234</v>
      </c>
      <c r="E168" s="25"/>
      <c r="H168">
        <v>0.5</v>
      </c>
      <c r="K168">
        <v>517</v>
      </c>
      <c r="N168">
        <v>12100</v>
      </c>
      <c r="Q168" s="26"/>
      <c r="R168" t="str">
        <f t="shared" si="2"/>
        <v/>
      </c>
    </row>
    <row r="169" spans="1:18" x14ac:dyDescent="0.25">
      <c r="A169" t="s">
        <v>205</v>
      </c>
      <c r="B169" s="26" t="s">
        <v>314</v>
      </c>
      <c r="C169" s="26">
        <v>7</v>
      </c>
      <c r="D169" s="9" t="s">
        <v>234</v>
      </c>
      <c r="E169" s="25"/>
      <c r="H169">
        <v>0.5625</v>
      </c>
      <c r="K169">
        <v>671</v>
      </c>
      <c r="N169">
        <v>15700</v>
      </c>
      <c r="Q169" s="26"/>
      <c r="R169" t="str">
        <f t="shared" si="2"/>
        <v/>
      </c>
    </row>
    <row r="170" spans="1:18" x14ac:dyDescent="0.25">
      <c r="A170" t="s">
        <v>204</v>
      </c>
      <c r="B170" s="26" t="s">
        <v>314</v>
      </c>
      <c r="C170" s="26">
        <v>7</v>
      </c>
      <c r="D170" s="9" t="s">
        <v>234</v>
      </c>
      <c r="E170" s="25"/>
      <c r="H170">
        <v>0.625</v>
      </c>
      <c r="K170">
        <v>813</v>
      </c>
      <c r="N170">
        <v>19100</v>
      </c>
      <c r="Q170" s="26"/>
      <c r="R170" t="str">
        <f t="shared" si="2"/>
        <v/>
      </c>
    </row>
    <row r="171" spans="1:18" x14ac:dyDescent="0.25">
      <c r="A171" t="s">
        <v>194</v>
      </c>
      <c r="B171" s="26" t="s">
        <v>314</v>
      </c>
      <c r="C171" s="26">
        <v>19</v>
      </c>
      <c r="D171" s="9" t="s">
        <v>234</v>
      </c>
      <c r="E171" s="25"/>
      <c r="H171">
        <v>0.5</v>
      </c>
      <c r="K171">
        <v>504</v>
      </c>
      <c r="N171">
        <v>12700</v>
      </c>
      <c r="Q171" s="26"/>
      <c r="R171" t="str">
        <f t="shared" si="2"/>
        <v/>
      </c>
    </row>
    <row r="172" spans="1:18" x14ac:dyDescent="0.25">
      <c r="A172" t="s">
        <v>205</v>
      </c>
      <c r="B172" s="26" t="s">
        <v>314</v>
      </c>
      <c r="C172" s="26">
        <v>19</v>
      </c>
      <c r="D172" s="9" t="s">
        <v>234</v>
      </c>
      <c r="E172" s="25"/>
      <c r="H172">
        <v>0.5625</v>
      </c>
      <c r="K172">
        <v>637</v>
      </c>
      <c r="N172">
        <v>16100</v>
      </c>
      <c r="Q172" s="26"/>
      <c r="R172" t="str">
        <f t="shared" si="2"/>
        <v/>
      </c>
    </row>
    <row r="173" spans="1:18" x14ac:dyDescent="0.25">
      <c r="A173" t="s">
        <v>204</v>
      </c>
      <c r="B173" s="26" t="s">
        <v>314</v>
      </c>
      <c r="C173" s="26">
        <v>19</v>
      </c>
      <c r="D173" s="9" t="s">
        <v>234</v>
      </c>
      <c r="E173" s="25"/>
      <c r="H173">
        <v>0.625</v>
      </c>
      <c r="K173">
        <v>796</v>
      </c>
      <c r="N173">
        <v>18100</v>
      </c>
      <c r="Q173" s="26"/>
      <c r="R173" t="str">
        <f t="shared" si="2"/>
        <v/>
      </c>
    </row>
    <row r="174" spans="1:18" x14ac:dyDescent="0.25">
      <c r="A174" t="s">
        <v>203</v>
      </c>
      <c r="B174" s="26" t="s">
        <v>314</v>
      </c>
      <c r="C174" s="26">
        <v>19</v>
      </c>
      <c r="D174" s="9" t="s">
        <v>234</v>
      </c>
      <c r="E174" s="25"/>
      <c r="H174">
        <v>0.75</v>
      </c>
      <c r="K174">
        <v>1155</v>
      </c>
      <c r="N174">
        <v>26200</v>
      </c>
      <c r="Q174" s="26"/>
      <c r="R174" t="str">
        <f t="shared" si="2"/>
        <v/>
      </c>
    </row>
    <row r="175" spans="1:18" x14ac:dyDescent="0.25">
      <c r="A175" t="s">
        <v>202</v>
      </c>
      <c r="B175" s="26" t="s">
        <v>314</v>
      </c>
      <c r="C175" s="26">
        <v>19</v>
      </c>
      <c r="D175" s="9" t="s">
        <v>234</v>
      </c>
      <c r="E175" s="25"/>
      <c r="H175">
        <v>0.875</v>
      </c>
      <c r="K175">
        <v>1581</v>
      </c>
      <c r="N175">
        <v>35900</v>
      </c>
      <c r="Q175" s="26"/>
      <c r="R175" t="str">
        <f t="shared" si="2"/>
        <v/>
      </c>
    </row>
    <row r="176" spans="1:18" x14ac:dyDescent="0.25">
      <c r="A176" t="s">
        <v>201</v>
      </c>
      <c r="B176" s="26" t="s">
        <v>314</v>
      </c>
      <c r="C176" s="26">
        <v>19</v>
      </c>
      <c r="D176" s="9" t="s">
        <v>234</v>
      </c>
      <c r="E176" s="25"/>
      <c r="H176">
        <v>1</v>
      </c>
      <c r="K176">
        <v>2073</v>
      </c>
      <c r="N176">
        <v>47000</v>
      </c>
      <c r="Q176" s="26"/>
      <c r="R176" t="str">
        <f t="shared" si="2"/>
        <v/>
      </c>
    </row>
    <row r="177" spans="1:18" x14ac:dyDescent="0.25">
      <c r="A177" t="s">
        <v>213</v>
      </c>
      <c r="B177" s="26" t="s">
        <v>208</v>
      </c>
      <c r="C177" s="26">
        <v>3</v>
      </c>
      <c r="D177" s="9" t="s">
        <v>234</v>
      </c>
      <c r="E177" s="25"/>
      <c r="H177">
        <v>0.25</v>
      </c>
      <c r="K177">
        <v>117</v>
      </c>
      <c r="N177">
        <v>4730</v>
      </c>
      <c r="Q177" s="26"/>
      <c r="R177" t="str">
        <f t="shared" si="2"/>
        <v/>
      </c>
    </row>
    <row r="178" spans="1:18" x14ac:dyDescent="0.25">
      <c r="A178" t="s">
        <v>211</v>
      </c>
      <c r="B178" s="26" t="s">
        <v>208</v>
      </c>
      <c r="C178" s="26">
        <v>3</v>
      </c>
      <c r="D178" s="9" t="s">
        <v>234</v>
      </c>
      <c r="E178" s="25"/>
      <c r="H178">
        <v>0.3125</v>
      </c>
      <c r="K178">
        <v>171</v>
      </c>
      <c r="N178">
        <v>6350</v>
      </c>
      <c r="Q178" s="26"/>
      <c r="R178" t="str">
        <f t="shared" si="2"/>
        <v/>
      </c>
    </row>
    <row r="179" spans="1:18" x14ac:dyDescent="0.25">
      <c r="A179" t="s">
        <v>210</v>
      </c>
      <c r="B179" s="26" t="s">
        <v>208</v>
      </c>
      <c r="C179" s="26">
        <v>3</v>
      </c>
      <c r="D179" s="9" t="s">
        <v>234</v>
      </c>
      <c r="E179" s="25"/>
      <c r="H179">
        <v>0.375</v>
      </c>
      <c r="K179">
        <v>220</v>
      </c>
      <c r="N179">
        <v>8360</v>
      </c>
      <c r="Q179" s="26"/>
      <c r="R179" t="str">
        <f t="shared" si="2"/>
        <v/>
      </c>
    </row>
    <row r="180" spans="1:18" x14ac:dyDescent="0.25">
      <c r="A180" t="s">
        <v>214</v>
      </c>
      <c r="B180" s="26" t="s">
        <v>208</v>
      </c>
      <c r="C180" s="26">
        <v>7</v>
      </c>
      <c r="D180" s="9" t="s">
        <v>234</v>
      </c>
      <c r="E180" s="25"/>
      <c r="H180">
        <v>0.1875</v>
      </c>
      <c r="K180">
        <v>73</v>
      </c>
      <c r="N180">
        <v>2850</v>
      </c>
      <c r="Q180" s="26"/>
      <c r="R180" t="str">
        <f t="shared" si="2"/>
        <v/>
      </c>
    </row>
    <row r="181" spans="1:18" x14ac:dyDescent="0.25">
      <c r="A181" t="s">
        <v>220</v>
      </c>
      <c r="B181" s="26" t="s">
        <v>208</v>
      </c>
      <c r="C181" s="26">
        <v>7</v>
      </c>
      <c r="D181" s="9" t="s">
        <v>234</v>
      </c>
      <c r="E181" s="25"/>
      <c r="H181">
        <v>0.21879999999999999</v>
      </c>
      <c r="K181">
        <v>98</v>
      </c>
      <c r="N181">
        <v>3850</v>
      </c>
      <c r="Q181" s="26"/>
      <c r="R181" t="str">
        <f t="shared" si="2"/>
        <v/>
      </c>
    </row>
    <row r="182" spans="1:18" x14ac:dyDescent="0.25">
      <c r="A182" t="s">
        <v>213</v>
      </c>
      <c r="B182" s="26" t="s">
        <v>208</v>
      </c>
      <c r="C182" s="26">
        <v>7</v>
      </c>
      <c r="D182" s="9" t="s">
        <v>234</v>
      </c>
      <c r="E182" s="25"/>
      <c r="H182">
        <v>0.25</v>
      </c>
      <c r="K182">
        <v>121</v>
      </c>
      <c r="N182">
        <v>4750</v>
      </c>
      <c r="Q182" s="26"/>
      <c r="R182" t="str">
        <f t="shared" si="2"/>
        <v/>
      </c>
    </row>
    <row r="183" spans="1:18" x14ac:dyDescent="0.25">
      <c r="A183" t="s">
        <v>212</v>
      </c>
      <c r="B183" s="26" t="s">
        <v>208</v>
      </c>
      <c r="C183" s="26">
        <v>7</v>
      </c>
      <c r="D183" s="9" t="s">
        <v>234</v>
      </c>
      <c r="E183" s="25"/>
      <c r="H183">
        <v>0.28129999999999999</v>
      </c>
      <c r="K183">
        <v>164</v>
      </c>
      <c r="N183">
        <v>6400</v>
      </c>
      <c r="Q183" s="26"/>
      <c r="R183" t="str">
        <f t="shared" si="2"/>
        <v/>
      </c>
    </row>
    <row r="184" spans="1:18" x14ac:dyDescent="0.25">
      <c r="A184" t="s">
        <v>211</v>
      </c>
      <c r="B184" s="26" t="s">
        <v>208</v>
      </c>
      <c r="C184" s="26">
        <v>7</v>
      </c>
      <c r="D184" s="9" t="s">
        <v>234</v>
      </c>
      <c r="E184" s="25"/>
      <c r="H184">
        <v>0.3125</v>
      </c>
      <c r="K184">
        <v>205</v>
      </c>
      <c r="N184">
        <v>8000</v>
      </c>
      <c r="Q184" s="26"/>
      <c r="R184" t="str">
        <f t="shared" si="2"/>
        <v/>
      </c>
    </row>
    <row r="185" spans="1:18" x14ac:dyDescent="0.25">
      <c r="A185" t="s">
        <v>210</v>
      </c>
      <c r="B185" s="26" t="s">
        <v>208</v>
      </c>
      <c r="C185" s="26">
        <v>7</v>
      </c>
      <c r="D185" s="9" t="s">
        <v>234</v>
      </c>
      <c r="E185" s="25"/>
      <c r="H185">
        <v>0.375</v>
      </c>
      <c r="K185">
        <v>273</v>
      </c>
      <c r="N185">
        <v>10800</v>
      </c>
      <c r="Q185" s="26"/>
      <c r="R185" t="str">
        <f t="shared" si="2"/>
        <v/>
      </c>
    </row>
    <row r="186" spans="1:18" x14ac:dyDescent="0.25">
      <c r="A186" t="s">
        <v>209</v>
      </c>
      <c r="B186" s="26" t="s">
        <v>208</v>
      </c>
      <c r="C186" s="26">
        <v>7</v>
      </c>
      <c r="D186" s="9" t="s">
        <v>234</v>
      </c>
      <c r="E186" s="25"/>
      <c r="H186">
        <v>0.4375</v>
      </c>
      <c r="K186">
        <v>399</v>
      </c>
      <c r="N186">
        <v>14500</v>
      </c>
      <c r="Q186" s="26"/>
      <c r="R186" t="str">
        <f t="shared" si="2"/>
        <v/>
      </c>
    </row>
    <row r="187" spans="1:18" x14ac:dyDescent="0.25">
      <c r="A187" t="s">
        <v>207</v>
      </c>
      <c r="B187" s="26" t="s">
        <v>208</v>
      </c>
      <c r="C187" s="26">
        <v>7</v>
      </c>
      <c r="D187" s="9" t="s">
        <v>234</v>
      </c>
      <c r="E187" s="25"/>
      <c r="H187">
        <v>0.5</v>
      </c>
      <c r="K187">
        <v>517</v>
      </c>
      <c r="N187">
        <v>18800</v>
      </c>
      <c r="Q187" s="26"/>
      <c r="R187" t="str">
        <f t="shared" si="2"/>
        <v/>
      </c>
    </row>
    <row r="188" spans="1:18" x14ac:dyDescent="0.25">
      <c r="A188" t="s">
        <v>219</v>
      </c>
      <c r="B188" s="26" t="s">
        <v>208</v>
      </c>
      <c r="C188" s="26">
        <v>7</v>
      </c>
      <c r="D188" s="9" t="s">
        <v>234</v>
      </c>
      <c r="E188" s="25"/>
      <c r="H188">
        <v>0.5625</v>
      </c>
      <c r="K188">
        <v>671</v>
      </c>
      <c r="N188">
        <v>24500</v>
      </c>
      <c r="Q188" s="26"/>
      <c r="R188" t="str">
        <f t="shared" si="2"/>
        <v/>
      </c>
    </row>
    <row r="189" spans="1:18" x14ac:dyDescent="0.25">
      <c r="A189" t="s">
        <v>218</v>
      </c>
      <c r="B189" s="26" t="s">
        <v>208</v>
      </c>
      <c r="C189" s="26">
        <v>7</v>
      </c>
      <c r="D189" s="9" t="s">
        <v>234</v>
      </c>
      <c r="E189" s="25"/>
      <c r="H189">
        <v>0.625</v>
      </c>
      <c r="K189">
        <v>813</v>
      </c>
      <c r="N189">
        <v>29600</v>
      </c>
      <c r="Q189" s="26"/>
      <c r="R189" t="str">
        <f t="shared" si="2"/>
        <v/>
      </c>
    </row>
    <row r="190" spans="1:18" x14ac:dyDescent="0.25">
      <c r="A190" t="s">
        <v>207</v>
      </c>
      <c r="B190" s="26" t="s">
        <v>208</v>
      </c>
      <c r="C190" s="26">
        <v>19</v>
      </c>
      <c r="D190" s="9" t="s">
        <v>234</v>
      </c>
      <c r="E190" s="25"/>
      <c r="H190">
        <v>0.5</v>
      </c>
      <c r="K190">
        <v>504</v>
      </c>
      <c r="N190">
        <v>19100</v>
      </c>
      <c r="Q190" s="26"/>
      <c r="R190" t="str">
        <f t="shared" si="2"/>
        <v/>
      </c>
    </row>
    <row r="191" spans="1:18" x14ac:dyDescent="0.25">
      <c r="A191" t="s">
        <v>219</v>
      </c>
      <c r="B191" s="26" t="s">
        <v>208</v>
      </c>
      <c r="C191" s="26">
        <v>19</v>
      </c>
      <c r="D191" s="9" t="s">
        <v>234</v>
      </c>
      <c r="E191" s="25"/>
      <c r="H191">
        <v>0.5625</v>
      </c>
      <c r="K191">
        <v>637</v>
      </c>
      <c r="N191">
        <v>24100</v>
      </c>
      <c r="Q191" s="26"/>
      <c r="R191" t="str">
        <f t="shared" si="2"/>
        <v/>
      </c>
    </row>
    <row r="192" spans="1:18" x14ac:dyDescent="0.25">
      <c r="A192" t="s">
        <v>218</v>
      </c>
      <c r="B192" s="26" t="s">
        <v>208</v>
      </c>
      <c r="C192" s="26">
        <v>19</v>
      </c>
      <c r="D192" s="9" t="s">
        <v>234</v>
      </c>
      <c r="E192" s="25"/>
      <c r="H192">
        <v>0.625</v>
      </c>
      <c r="K192">
        <v>796</v>
      </c>
      <c r="N192">
        <v>28100</v>
      </c>
      <c r="Q192" s="26"/>
      <c r="R192" t="str">
        <f t="shared" si="2"/>
        <v/>
      </c>
    </row>
    <row r="193" spans="1:18" x14ac:dyDescent="0.25">
      <c r="A193" t="s">
        <v>217</v>
      </c>
      <c r="B193" s="26" t="s">
        <v>208</v>
      </c>
      <c r="C193" s="26">
        <v>19</v>
      </c>
      <c r="D193" s="9" t="s">
        <v>234</v>
      </c>
      <c r="E193" s="25"/>
      <c r="H193">
        <v>0.75</v>
      </c>
      <c r="K193">
        <v>1155</v>
      </c>
      <c r="N193">
        <v>40800</v>
      </c>
      <c r="Q193" s="26"/>
      <c r="R193" t="str">
        <f t="shared" si="2"/>
        <v/>
      </c>
    </row>
    <row r="194" spans="1:18" x14ac:dyDescent="0.25">
      <c r="A194" t="s">
        <v>216</v>
      </c>
      <c r="B194" s="26" t="s">
        <v>208</v>
      </c>
      <c r="C194" s="26">
        <v>19</v>
      </c>
      <c r="D194" s="9" t="s">
        <v>234</v>
      </c>
      <c r="E194" s="25"/>
      <c r="H194">
        <v>0.875</v>
      </c>
      <c r="K194">
        <v>1581</v>
      </c>
      <c r="N194">
        <v>55800</v>
      </c>
      <c r="Q194" s="26"/>
      <c r="R194" t="str">
        <f t="shared" si="2"/>
        <v/>
      </c>
    </row>
    <row r="195" spans="1:18" x14ac:dyDescent="0.25">
      <c r="A195" t="s">
        <v>215</v>
      </c>
      <c r="B195" s="26" t="s">
        <v>208</v>
      </c>
      <c r="C195" s="26">
        <v>19</v>
      </c>
      <c r="D195" s="9" t="s">
        <v>234</v>
      </c>
      <c r="E195" s="25"/>
      <c r="H195">
        <v>1</v>
      </c>
      <c r="K195">
        <v>2073</v>
      </c>
      <c r="N195">
        <v>73200</v>
      </c>
      <c r="Q195" s="26"/>
      <c r="R195" t="str">
        <f t="shared" si="2"/>
        <v/>
      </c>
    </row>
    <row r="196" spans="1:18" x14ac:dyDescent="0.25">
      <c r="A196" t="s">
        <v>226</v>
      </c>
      <c r="B196" s="26" t="s">
        <v>315</v>
      </c>
      <c r="C196" s="26">
        <v>3</v>
      </c>
      <c r="D196" s="9" t="s">
        <v>234</v>
      </c>
      <c r="E196" s="25"/>
      <c r="H196">
        <v>0.25</v>
      </c>
      <c r="K196">
        <v>117</v>
      </c>
      <c r="N196">
        <v>6740</v>
      </c>
      <c r="Q196" s="26"/>
      <c r="R196" t="str">
        <f t="shared" ref="R196:R214" si="3">IF(ISNA(VLOOKUP(A196,x,4,FALSE)),"",VLOOKUP(A196,x,4,FALSE))</f>
        <v/>
      </c>
    </row>
    <row r="197" spans="1:18" x14ac:dyDescent="0.25">
      <c r="A197" t="s">
        <v>224</v>
      </c>
      <c r="B197" s="26" t="s">
        <v>315</v>
      </c>
      <c r="C197" s="26">
        <v>3</v>
      </c>
      <c r="D197" s="9" t="s">
        <v>234</v>
      </c>
      <c r="E197" s="25"/>
      <c r="H197">
        <v>0.3125</v>
      </c>
      <c r="K197">
        <v>171</v>
      </c>
      <c r="N197">
        <v>9100</v>
      </c>
      <c r="Q197" s="26"/>
      <c r="R197" t="str">
        <f t="shared" si="3"/>
        <v/>
      </c>
    </row>
    <row r="198" spans="1:18" x14ac:dyDescent="0.25">
      <c r="A198" t="s">
        <v>223</v>
      </c>
      <c r="B198" s="26" t="s">
        <v>315</v>
      </c>
      <c r="C198" s="26">
        <v>3</v>
      </c>
      <c r="D198" s="9" t="s">
        <v>234</v>
      </c>
      <c r="E198" s="25"/>
      <c r="H198">
        <v>0.375</v>
      </c>
      <c r="K198">
        <v>220</v>
      </c>
      <c r="N198">
        <v>11800</v>
      </c>
      <c r="Q198" s="26"/>
      <c r="R198" t="str">
        <f t="shared" si="3"/>
        <v/>
      </c>
    </row>
    <row r="199" spans="1:18" x14ac:dyDescent="0.25">
      <c r="A199" t="s">
        <v>227</v>
      </c>
      <c r="B199" s="26" t="s">
        <v>315</v>
      </c>
      <c r="C199" s="26">
        <v>7</v>
      </c>
      <c r="D199" s="9" t="s">
        <v>234</v>
      </c>
      <c r="E199" s="25"/>
      <c r="H199">
        <v>0.1875</v>
      </c>
      <c r="K199">
        <v>73</v>
      </c>
      <c r="N199">
        <v>3990</v>
      </c>
      <c r="Q199" s="26"/>
      <c r="R199" t="str">
        <f t="shared" si="3"/>
        <v/>
      </c>
    </row>
    <row r="200" spans="1:18" x14ac:dyDescent="0.25">
      <c r="A200" t="s">
        <v>233</v>
      </c>
      <c r="B200" s="26" t="s">
        <v>315</v>
      </c>
      <c r="C200" s="26">
        <v>7</v>
      </c>
      <c r="D200" s="9" t="s">
        <v>234</v>
      </c>
      <c r="E200" s="25"/>
      <c r="H200">
        <v>0.21879999999999999</v>
      </c>
      <c r="K200">
        <v>98</v>
      </c>
      <c r="N200">
        <v>5400</v>
      </c>
      <c r="Q200" s="26"/>
      <c r="R200" t="str">
        <f t="shared" si="3"/>
        <v/>
      </c>
    </row>
    <row r="201" spans="1:18" x14ac:dyDescent="0.25">
      <c r="A201" t="s">
        <v>226</v>
      </c>
      <c r="B201" s="26" t="s">
        <v>315</v>
      </c>
      <c r="C201" s="26">
        <v>7</v>
      </c>
      <c r="D201" s="9" t="s">
        <v>234</v>
      </c>
      <c r="E201" s="25"/>
      <c r="H201">
        <v>0.25</v>
      </c>
      <c r="K201">
        <v>121</v>
      </c>
      <c r="N201">
        <v>6650</v>
      </c>
      <c r="Q201" s="26"/>
      <c r="R201" t="str">
        <f t="shared" si="3"/>
        <v/>
      </c>
    </row>
    <row r="202" spans="1:18" x14ac:dyDescent="0.25">
      <c r="A202" t="s">
        <v>225</v>
      </c>
      <c r="B202" s="26" t="s">
        <v>315</v>
      </c>
      <c r="C202" s="26">
        <v>7</v>
      </c>
      <c r="D202" s="9" t="s">
        <v>234</v>
      </c>
      <c r="E202" s="25"/>
      <c r="H202">
        <v>0.28129999999999999</v>
      </c>
      <c r="K202">
        <v>164</v>
      </c>
      <c r="N202">
        <v>8950</v>
      </c>
      <c r="Q202" s="26"/>
      <c r="R202" t="str">
        <f t="shared" si="3"/>
        <v/>
      </c>
    </row>
    <row r="203" spans="1:18" x14ac:dyDescent="0.25">
      <c r="A203" t="s">
        <v>224</v>
      </c>
      <c r="B203" s="26" t="s">
        <v>315</v>
      </c>
      <c r="C203" s="26">
        <v>7</v>
      </c>
      <c r="D203" s="9" t="s">
        <v>234</v>
      </c>
      <c r="E203" s="25"/>
      <c r="H203">
        <v>0.3125</v>
      </c>
      <c r="K203">
        <v>205</v>
      </c>
      <c r="N203">
        <v>11200</v>
      </c>
      <c r="Q203" s="26"/>
      <c r="R203" t="str">
        <f t="shared" si="3"/>
        <v/>
      </c>
    </row>
    <row r="204" spans="1:18" x14ac:dyDescent="0.25">
      <c r="A204" t="s">
        <v>223</v>
      </c>
      <c r="B204" s="26" t="s">
        <v>315</v>
      </c>
      <c r="C204" s="26">
        <v>7</v>
      </c>
      <c r="D204" s="9" t="s">
        <v>234</v>
      </c>
      <c r="E204" s="25"/>
      <c r="H204">
        <v>0.375</v>
      </c>
      <c r="K204">
        <v>273</v>
      </c>
      <c r="N204">
        <v>15400</v>
      </c>
      <c r="Q204" s="26"/>
      <c r="R204" t="str">
        <f t="shared" si="3"/>
        <v/>
      </c>
    </row>
    <row r="205" spans="1:18" x14ac:dyDescent="0.25">
      <c r="A205" t="s">
        <v>222</v>
      </c>
      <c r="B205" s="26" t="s">
        <v>315</v>
      </c>
      <c r="C205" s="26">
        <v>7</v>
      </c>
      <c r="D205" s="9" t="s">
        <v>234</v>
      </c>
      <c r="E205" s="25"/>
      <c r="H205">
        <v>0.4375</v>
      </c>
      <c r="K205">
        <v>399</v>
      </c>
      <c r="N205">
        <v>20800</v>
      </c>
      <c r="Q205" s="26"/>
      <c r="R205" t="str">
        <f t="shared" si="3"/>
        <v/>
      </c>
    </row>
    <row r="206" spans="1:18" x14ac:dyDescent="0.25">
      <c r="A206" t="s">
        <v>221</v>
      </c>
      <c r="B206" s="26" t="s">
        <v>315</v>
      </c>
      <c r="C206" s="26">
        <v>7</v>
      </c>
      <c r="D206" s="9" t="s">
        <v>234</v>
      </c>
      <c r="E206" s="25"/>
      <c r="H206">
        <v>0.5</v>
      </c>
      <c r="K206">
        <v>517</v>
      </c>
      <c r="N206">
        <v>26900</v>
      </c>
      <c r="Q206" s="26"/>
      <c r="R206" t="str">
        <f t="shared" si="3"/>
        <v/>
      </c>
    </row>
    <row r="207" spans="1:18" x14ac:dyDescent="0.25">
      <c r="A207" t="s">
        <v>232</v>
      </c>
      <c r="B207" s="26" t="s">
        <v>315</v>
      </c>
      <c r="C207" s="26">
        <v>7</v>
      </c>
      <c r="D207" s="9" t="s">
        <v>234</v>
      </c>
      <c r="E207" s="25"/>
      <c r="H207">
        <v>0.5625</v>
      </c>
      <c r="K207">
        <v>671</v>
      </c>
      <c r="N207">
        <v>35000</v>
      </c>
      <c r="Q207" s="26"/>
      <c r="R207" t="str">
        <f t="shared" si="3"/>
        <v/>
      </c>
    </row>
    <row r="208" spans="1:18" x14ac:dyDescent="0.25">
      <c r="A208" t="s">
        <v>231</v>
      </c>
      <c r="B208" s="26" t="s">
        <v>315</v>
      </c>
      <c r="C208" s="26">
        <v>7</v>
      </c>
      <c r="D208" s="9" t="s">
        <v>234</v>
      </c>
      <c r="E208" s="25"/>
      <c r="H208">
        <v>0.625</v>
      </c>
      <c r="K208">
        <v>813</v>
      </c>
      <c r="N208">
        <v>42400</v>
      </c>
      <c r="Q208" s="26"/>
      <c r="R208" t="str">
        <f t="shared" si="3"/>
        <v/>
      </c>
    </row>
    <row r="209" spans="1:18" x14ac:dyDescent="0.25">
      <c r="A209" t="s">
        <v>221</v>
      </c>
      <c r="B209" s="26" t="s">
        <v>315</v>
      </c>
      <c r="C209" s="26">
        <v>19</v>
      </c>
      <c r="D209" s="9" t="s">
        <v>234</v>
      </c>
      <c r="E209" s="25"/>
      <c r="H209">
        <v>0.5</v>
      </c>
      <c r="K209">
        <v>504</v>
      </c>
      <c r="N209">
        <v>26700</v>
      </c>
      <c r="Q209" s="26"/>
      <c r="R209" t="str">
        <f t="shared" si="3"/>
        <v/>
      </c>
    </row>
    <row r="210" spans="1:18" x14ac:dyDescent="0.25">
      <c r="A210" t="s">
        <v>232</v>
      </c>
      <c r="B210" s="26" t="s">
        <v>315</v>
      </c>
      <c r="C210" s="26">
        <v>19</v>
      </c>
      <c r="D210" s="9" t="s">
        <v>234</v>
      </c>
      <c r="E210" s="25"/>
      <c r="H210">
        <v>0.5625</v>
      </c>
      <c r="K210">
        <v>637</v>
      </c>
      <c r="N210">
        <v>33700</v>
      </c>
      <c r="Q210" s="26"/>
      <c r="R210" t="str">
        <f t="shared" si="3"/>
        <v/>
      </c>
    </row>
    <row r="211" spans="1:18" x14ac:dyDescent="0.25">
      <c r="A211" t="s">
        <v>231</v>
      </c>
      <c r="B211" s="26" t="s">
        <v>315</v>
      </c>
      <c r="C211" s="26">
        <v>19</v>
      </c>
      <c r="D211" s="9" t="s">
        <v>234</v>
      </c>
      <c r="E211" s="25"/>
      <c r="H211">
        <v>0.625</v>
      </c>
      <c r="K211">
        <v>796</v>
      </c>
      <c r="N211">
        <v>40200</v>
      </c>
      <c r="Q211" s="26"/>
      <c r="R211" t="str">
        <f t="shared" si="3"/>
        <v/>
      </c>
    </row>
    <row r="212" spans="1:18" x14ac:dyDescent="0.25">
      <c r="A212" t="s">
        <v>230</v>
      </c>
      <c r="B212" s="26" t="s">
        <v>315</v>
      </c>
      <c r="C212" s="26">
        <v>19</v>
      </c>
      <c r="D212" s="9" t="s">
        <v>234</v>
      </c>
      <c r="E212" s="25"/>
      <c r="H212">
        <v>0.75</v>
      </c>
      <c r="K212">
        <v>1155</v>
      </c>
      <c r="N212">
        <v>58300</v>
      </c>
      <c r="Q212" s="26"/>
      <c r="R212" t="str">
        <f t="shared" si="3"/>
        <v/>
      </c>
    </row>
    <row r="213" spans="1:18" x14ac:dyDescent="0.25">
      <c r="A213" t="s">
        <v>229</v>
      </c>
      <c r="B213" s="26" t="s">
        <v>315</v>
      </c>
      <c r="C213" s="26">
        <v>19</v>
      </c>
      <c r="D213" s="9" t="s">
        <v>234</v>
      </c>
      <c r="E213" s="25"/>
      <c r="H213">
        <v>0.875</v>
      </c>
      <c r="K213">
        <v>1581</v>
      </c>
      <c r="N213">
        <v>79700</v>
      </c>
      <c r="Q213" s="26"/>
      <c r="R213" t="str">
        <f t="shared" si="3"/>
        <v/>
      </c>
    </row>
    <row r="214" spans="1:18" x14ac:dyDescent="0.25">
      <c r="A214" t="s">
        <v>228</v>
      </c>
      <c r="B214" s="26" t="s">
        <v>315</v>
      </c>
      <c r="C214" s="26">
        <v>19</v>
      </c>
      <c r="D214" s="9" t="s">
        <v>234</v>
      </c>
      <c r="E214" s="25"/>
      <c r="H214">
        <v>1</v>
      </c>
      <c r="K214">
        <v>2073</v>
      </c>
      <c r="N214">
        <v>104500</v>
      </c>
      <c r="Q214" s="26"/>
      <c r="R214" t="str">
        <f t="shared" si="3"/>
        <v/>
      </c>
    </row>
  </sheetData>
  <mergeCells count="12">
    <mergeCell ref="D1:D3"/>
    <mergeCell ref="A1:A3"/>
    <mergeCell ref="B1:B3"/>
    <mergeCell ref="C1:C3"/>
    <mergeCell ref="E1:H1"/>
    <mergeCell ref="Q1:Q3"/>
    <mergeCell ref="E2:F2"/>
    <mergeCell ref="I2:K2"/>
    <mergeCell ref="L2:M2"/>
    <mergeCell ref="O2:P2"/>
    <mergeCell ref="N1:N3"/>
    <mergeCell ref="O1:P1"/>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B22"/>
  <sheetViews>
    <sheetView workbookViewId="0">
      <selection activeCell="B5" sqref="B5"/>
    </sheetView>
  </sheetViews>
  <sheetFormatPr defaultRowHeight="15" x14ac:dyDescent="0.25"/>
  <cols>
    <col min="1" max="1" width="12.28515625" bestFit="1" customWidth="1"/>
    <col min="2" max="2" width="14.5703125" style="20" customWidth="1"/>
    <col min="3" max="4" width="9.140625" customWidth="1"/>
  </cols>
  <sheetData>
    <row r="3" spans="1:2" ht="47.25" x14ac:dyDescent="0.25">
      <c r="A3" s="17" t="s">
        <v>281</v>
      </c>
      <c r="B3" s="22" t="s">
        <v>286</v>
      </c>
    </row>
    <row r="4" spans="1:2" x14ac:dyDescent="0.25">
      <c r="A4" s="17" t="s">
        <v>280</v>
      </c>
      <c r="B4" s="21">
        <v>16000</v>
      </c>
    </row>
    <row r="5" spans="1:2" x14ac:dyDescent="0.25">
      <c r="A5" t="s">
        <v>282</v>
      </c>
      <c r="B5" s="21">
        <v>23000</v>
      </c>
    </row>
    <row r="6" spans="1:2" x14ac:dyDescent="0.25">
      <c r="A6" t="s">
        <v>283</v>
      </c>
      <c r="B6" s="21">
        <v>36000</v>
      </c>
    </row>
    <row r="7" spans="1:2" x14ac:dyDescent="0.25">
      <c r="A7" t="s">
        <v>284</v>
      </c>
      <c r="B7" s="21">
        <v>6000</v>
      </c>
    </row>
    <row r="8" spans="1:2" x14ac:dyDescent="0.25">
      <c r="A8" s="17" t="s">
        <v>285</v>
      </c>
      <c r="B8" s="21">
        <v>12000</v>
      </c>
    </row>
    <row r="9" spans="1:2" x14ac:dyDescent="0.25">
      <c r="B9" s="18"/>
    </row>
    <row r="10" spans="1:2" x14ac:dyDescent="0.25">
      <c r="B10" s="18"/>
    </row>
    <row r="11" spans="1:2" x14ac:dyDescent="0.25">
      <c r="B11" s="18"/>
    </row>
    <row r="12" spans="1:2" x14ac:dyDescent="0.25">
      <c r="A12" s="17"/>
      <c r="B12" s="18"/>
    </row>
    <row r="13" spans="1:2" x14ac:dyDescent="0.25">
      <c r="B13" s="18"/>
    </row>
    <row r="14" spans="1:2" x14ac:dyDescent="0.25">
      <c r="B14" s="18"/>
    </row>
    <row r="15" spans="1:2" x14ac:dyDescent="0.25">
      <c r="B15" s="18"/>
    </row>
    <row r="16" spans="1:2" x14ac:dyDescent="0.25">
      <c r="A16" s="17"/>
      <c r="B16" s="19"/>
    </row>
    <row r="17" spans="1:2" x14ac:dyDescent="0.25">
      <c r="B17" s="18"/>
    </row>
    <row r="18" spans="1:2" x14ac:dyDescent="0.25">
      <c r="B18" s="18"/>
    </row>
    <row r="19" spans="1:2" x14ac:dyDescent="0.25">
      <c r="B19" s="18"/>
    </row>
    <row r="20" spans="1:2" x14ac:dyDescent="0.25">
      <c r="A20" s="17"/>
      <c r="B20" s="19"/>
    </row>
    <row r="21" spans="1:2" x14ac:dyDescent="0.25">
      <c r="B21" s="18"/>
    </row>
    <row r="22" spans="1:2" x14ac:dyDescent="0.25">
      <c r="B22" s="1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9"/>
  <sheetViews>
    <sheetView workbookViewId="0">
      <selection sqref="A1:B1"/>
    </sheetView>
  </sheetViews>
  <sheetFormatPr defaultRowHeight="15" x14ac:dyDescent="0.25"/>
  <cols>
    <col min="1" max="1" width="9.42578125" style="34" customWidth="1"/>
    <col min="2" max="2" width="33.42578125" style="34" customWidth="1"/>
  </cols>
  <sheetData>
    <row r="1" spans="1:4" ht="15.75" x14ac:dyDescent="0.25">
      <c r="A1" s="216" t="s">
        <v>347</v>
      </c>
      <c r="B1" s="217"/>
      <c r="C1" s="27"/>
      <c r="D1" s="27"/>
    </row>
    <row r="2" spans="1:4" ht="16.5" thickBot="1" x14ac:dyDescent="0.3">
      <c r="A2" s="218" t="s">
        <v>348</v>
      </c>
      <c r="B2" s="219"/>
      <c r="C2" s="27"/>
      <c r="D2" s="27"/>
    </row>
    <row r="3" spans="1:4" ht="15.75" x14ac:dyDescent="0.25">
      <c r="A3" s="46" t="s">
        <v>349</v>
      </c>
      <c r="B3" s="47" t="s">
        <v>351</v>
      </c>
    </row>
    <row r="4" spans="1:4" ht="16.5" thickBot="1" x14ac:dyDescent="0.3">
      <c r="A4" s="48" t="s">
        <v>350</v>
      </c>
      <c r="B4" s="49" t="s">
        <v>352</v>
      </c>
    </row>
    <row r="5" spans="1:4" ht="15.75" x14ac:dyDescent="0.25">
      <c r="A5" s="50" t="s">
        <v>353</v>
      </c>
      <c r="B5" s="51">
        <v>11400</v>
      </c>
    </row>
    <row r="6" spans="1:4" ht="15.75" x14ac:dyDescent="0.25">
      <c r="A6" s="52" t="s">
        <v>354</v>
      </c>
      <c r="B6" s="53">
        <v>10000</v>
      </c>
    </row>
    <row r="7" spans="1:4" ht="15.75" x14ac:dyDescent="0.25">
      <c r="A7" s="52" t="s">
        <v>355</v>
      </c>
      <c r="B7" s="53">
        <v>8700</v>
      </c>
    </row>
    <row r="8" spans="1:4" ht="15.75" x14ac:dyDescent="0.25">
      <c r="A8" s="52" t="s">
        <v>356</v>
      </c>
      <c r="B8" s="53">
        <v>7500</v>
      </c>
    </row>
    <row r="9" spans="1:4" ht="15.75" x14ac:dyDescent="0.25">
      <c r="A9" s="52" t="s">
        <v>296</v>
      </c>
      <c r="B9" s="53">
        <v>6400</v>
      </c>
    </row>
    <row r="10" spans="1:4" ht="15.75" x14ac:dyDescent="0.25">
      <c r="A10" s="52" t="s">
        <v>297</v>
      </c>
      <c r="B10" s="53">
        <v>5400</v>
      </c>
    </row>
    <row r="11" spans="1:4" ht="15.75" x14ac:dyDescent="0.25">
      <c r="A11" s="52">
        <v>1</v>
      </c>
      <c r="B11" s="53">
        <v>4500</v>
      </c>
    </row>
    <row r="12" spans="1:4" ht="15.75" x14ac:dyDescent="0.25">
      <c r="A12" s="52">
        <v>2</v>
      </c>
      <c r="B12" s="53">
        <v>3700</v>
      </c>
    </row>
    <row r="13" spans="1:4" ht="15.75" x14ac:dyDescent="0.25">
      <c r="A13" s="52">
        <v>3</v>
      </c>
      <c r="B13" s="53">
        <v>3000</v>
      </c>
    </row>
    <row r="14" spans="1:4" ht="15.75" x14ac:dyDescent="0.25">
      <c r="A14" s="52">
        <v>4</v>
      </c>
      <c r="B14" s="53">
        <v>2400</v>
      </c>
    </row>
    <row r="15" spans="1:4" ht="15.75" x14ac:dyDescent="0.25">
      <c r="A15" s="52">
        <v>5</v>
      </c>
      <c r="B15" s="53">
        <v>1900</v>
      </c>
    </row>
    <row r="16" spans="1:4" ht="15.75" x14ac:dyDescent="0.25">
      <c r="A16" s="52">
        <v>6</v>
      </c>
      <c r="B16" s="53">
        <v>1500</v>
      </c>
    </row>
    <row r="17" spans="1:2" ht="15.75" x14ac:dyDescent="0.25">
      <c r="A17" s="52">
        <v>7</v>
      </c>
      <c r="B17" s="53">
        <v>1200</v>
      </c>
    </row>
    <row r="18" spans="1:2" ht="15.75" x14ac:dyDescent="0.25">
      <c r="A18" s="52">
        <v>9</v>
      </c>
      <c r="B18" s="41">
        <v>740</v>
      </c>
    </row>
    <row r="19" spans="1:2" ht="16.5" thickBot="1" x14ac:dyDescent="0.3">
      <c r="A19" s="54">
        <v>10</v>
      </c>
      <c r="B19" s="38">
        <v>370</v>
      </c>
    </row>
  </sheetData>
  <mergeCells count="2">
    <mergeCell ref="A1:B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1"/>
  <sheetViews>
    <sheetView workbookViewId="0"/>
  </sheetViews>
  <sheetFormatPr defaultRowHeight="15" x14ac:dyDescent="0.25"/>
  <cols>
    <col min="1" max="1" width="12.5703125" bestFit="1" customWidth="1"/>
    <col min="2" max="2" width="0" hidden="1" customWidth="1"/>
  </cols>
  <sheetData>
    <row r="1" spans="1:8" x14ac:dyDescent="0.25">
      <c r="A1" t="s">
        <v>326</v>
      </c>
      <c r="E1" s="2" t="s">
        <v>327</v>
      </c>
      <c r="F1">
        <f>SQRT(SUM(B2:B40)/SUM(A2:A40))</f>
        <v>163.84380394022986</v>
      </c>
    </row>
    <row r="2" spans="1:8" x14ac:dyDescent="0.25">
      <c r="A2" s="58">
        <v>111</v>
      </c>
      <c r="B2">
        <f>A2^3</f>
        <v>1367631</v>
      </c>
    </row>
    <row r="3" spans="1:8" x14ac:dyDescent="0.25">
      <c r="A3" s="59">
        <v>163</v>
      </c>
      <c r="B3">
        <f t="shared" ref="B3:B40" si="0">A3^3</f>
        <v>4330747</v>
      </c>
    </row>
    <row r="4" spans="1:8" x14ac:dyDescent="0.25">
      <c r="A4" s="59">
        <v>177</v>
      </c>
      <c r="B4">
        <f t="shared" si="0"/>
        <v>5545233</v>
      </c>
    </row>
    <row r="5" spans="1:8" x14ac:dyDescent="0.25">
      <c r="A5" s="59">
        <v>106</v>
      </c>
      <c r="B5">
        <f t="shared" si="0"/>
        <v>1191016</v>
      </c>
      <c r="E5" s="28"/>
    </row>
    <row r="6" spans="1:8" x14ac:dyDescent="0.25">
      <c r="A6" s="59">
        <v>120</v>
      </c>
      <c r="B6">
        <f t="shared" si="0"/>
        <v>1728000</v>
      </c>
      <c r="G6" s="28"/>
    </row>
    <row r="7" spans="1:8" x14ac:dyDescent="0.25">
      <c r="A7" s="59">
        <v>88</v>
      </c>
      <c r="B7">
        <f t="shared" si="0"/>
        <v>681472</v>
      </c>
      <c r="G7" s="28"/>
    </row>
    <row r="8" spans="1:8" x14ac:dyDescent="0.25">
      <c r="A8" s="59">
        <v>212</v>
      </c>
      <c r="B8">
        <f t="shared" si="0"/>
        <v>9528128</v>
      </c>
      <c r="H8" s="28"/>
    </row>
    <row r="9" spans="1:8" x14ac:dyDescent="0.25">
      <c r="A9" s="59">
        <v>182</v>
      </c>
      <c r="B9">
        <f t="shared" si="0"/>
        <v>6028568</v>
      </c>
      <c r="E9" s="28"/>
    </row>
    <row r="10" spans="1:8" x14ac:dyDescent="0.25">
      <c r="A10" s="59">
        <v>170</v>
      </c>
      <c r="B10">
        <f t="shared" si="0"/>
        <v>4913000</v>
      </c>
      <c r="H10" s="29"/>
    </row>
    <row r="11" spans="1:8" x14ac:dyDescent="0.25">
      <c r="A11" s="59">
        <v>182</v>
      </c>
      <c r="B11">
        <f t="shared" si="0"/>
        <v>6028568</v>
      </c>
      <c r="H11" s="28"/>
    </row>
    <row r="12" spans="1:8" x14ac:dyDescent="0.25">
      <c r="A12" s="59">
        <v>170</v>
      </c>
      <c r="B12">
        <f t="shared" si="0"/>
        <v>4913000</v>
      </c>
    </row>
    <row r="13" spans="1:8" x14ac:dyDescent="0.25">
      <c r="A13" s="59">
        <v>175</v>
      </c>
      <c r="B13">
        <f t="shared" si="0"/>
        <v>5359375</v>
      </c>
      <c r="H13" s="28"/>
    </row>
    <row r="14" spans="1:8" x14ac:dyDescent="0.25">
      <c r="A14" s="59">
        <v>187</v>
      </c>
      <c r="B14">
        <f t="shared" si="0"/>
        <v>6539203</v>
      </c>
      <c r="E14" s="28"/>
    </row>
    <row r="15" spans="1:8" x14ac:dyDescent="0.25">
      <c r="A15" s="59">
        <v>176</v>
      </c>
      <c r="B15">
        <f t="shared" si="0"/>
        <v>5451776</v>
      </c>
      <c r="G15" s="28"/>
    </row>
    <row r="16" spans="1:8" x14ac:dyDescent="0.25">
      <c r="A16" s="59">
        <v>91</v>
      </c>
      <c r="B16">
        <f t="shared" si="0"/>
        <v>753571</v>
      </c>
    </row>
    <row r="17" spans="1:8" x14ac:dyDescent="0.25">
      <c r="A17" s="59">
        <v>95</v>
      </c>
      <c r="B17">
        <f t="shared" si="0"/>
        <v>857375</v>
      </c>
    </row>
    <row r="18" spans="1:8" x14ac:dyDescent="0.25">
      <c r="A18" s="59">
        <v>192</v>
      </c>
      <c r="B18">
        <f t="shared" si="0"/>
        <v>7077888</v>
      </c>
      <c r="H18" s="28"/>
    </row>
    <row r="19" spans="1:8" x14ac:dyDescent="0.25">
      <c r="A19" s="59">
        <v>133</v>
      </c>
      <c r="B19">
        <f t="shared" si="0"/>
        <v>2352637</v>
      </c>
      <c r="H19" s="28"/>
    </row>
    <row r="20" spans="1:8" x14ac:dyDescent="0.25">
      <c r="A20" s="59">
        <v>127</v>
      </c>
      <c r="B20">
        <f t="shared" si="0"/>
        <v>2048383</v>
      </c>
      <c r="H20" s="28"/>
    </row>
    <row r="21" spans="1:8" x14ac:dyDescent="0.25">
      <c r="A21" s="60"/>
      <c r="B21">
        <f t="shared" si="0"/>
        <v>0</v>
      </c>
      <c r="H21" s="28"/>
    </row>
    <row r="22" spans="1:8" x14ac:dyDescent="0.25">
      <c r="A22" s="60"/>
      <c r="B22">
        <f t="shared" si="0"/>
        <v>0</v>
      </c>
      <c r="H22" s="28"/>
    </row>
    <row r="23" spans="1:8" x14ac:dyDescent="0.25">
      <c r="A23" s="60"/>
      <c r="B23">
        <f t="shared" si="0"/>
        <v>0</v>
      </c>
      <c r="H23" s="28"/>
    </row>
    <row r="24" spans="1:8" x14ac:dyDescent="0.25">
      <c r="A24" s="60"/>
      <c r="B24">
        <f t="shared" si="0"/>
        <v>0</v>
      </c>
      <c r="H24" s="28"/>
    </row>
    <row r="25" spans="1:8" x14ac:dyDescent="0.25">
      <c r="A25" s="60"/>
      <c r="B25">
        <f t="shared" si="0"/>
        <v>0</v>
      </c>
    </row>
    <row r="26" spans="1:8" x14ac:dyDescent="0.25">
      <c r="A26" s="60"/>
      <c r="B26">
        <f t="shared" si="0"/>
        <v>0</v>
      </c>
    </row>
    <row r="27" spans="1:8" x14ac:dyDescent="0.25">
      <c r="A27" s="60"/>
      <c r="B27">
        <f t="shared" si="0"/>
        <v>0</v>
      </c>
    </row>
    <row r="28" spans="1:8" x14ac:dyDescent="0.25">
      <c r="A28" s="60"/>
      <c r="B28">
        <f t="shared" si="0"/>
        <v>0</v>
      </c>
    </row>
    <row r="29" spans="1:8" x14ac:dyDescent="0.25">
      <c r="A29" s="60"/>
      <c r="B29">
        <f t="shared" si="0"/>
        <v>0</v>
      </c>
    </row>
    <row r="30" spans="1:8" x14ac:dyDescent="0.25">
      <c r="A30" s="60"/>
      <c r="B30">
        <f t="shared" si="0"/>
        <v>0</v>
      </c>
    </row>
    <row r="31" spans="1:8" x14ac:dyDescent="0.25">
      <c r="A31" s="60"/>
      <c r="B31">
        <f t="shared" si="0"/>
        <v>0</v>
      </c>
    </row>
    <row r="32" spans="1:8" x14ac:dyDescent="0.25">
      <c r="A32" s="60"/>
      <c r="B32">
        <f t="shared" si="0"/>
        <v>0</v>
      </c>
    </row>
    <row r="33" spans="1:2" x14ac:dyDescent="0.25">
      <c r="A33" s="60"/>
      <c r="B33">
        <f t="shared" si="0"/>
        <v>0</v>
      </c>
    </row>
    <row r="34" spans="1:2" x14ac:dyDescent="0.25">
      <c r="A34" s="60"/>
      <c r="B34">
        <f t="shared" si="0"/>
        <v>0</v>
      </c>
    </row>
    <row r="35" spans="1:2" x14ac:dyDescent="0.25">
      <c r="A35" s="60"/>
      <c r="B35">
        <f t="shared" si="0"/>
        <v>0</v>
      </c>
    </row>
    <row r="36" spans="1:2" x14ac:dyDescent="0.25">
      <c r="A36" s="60"/>
      <c r="B36">
        <f t="shared" si="0"/>
        <v>0</v>
      </c>
    </row>
    <row r="37" spans="1:2" x14ac:dyDescent="0.25">
      <c r="A37" s="60"/>
      <c r="B37">
        <f t="shared" si="0"/>
        <v>0</v>
      </c>
    </row>
    <row r="38" spans="1:2" x14ac:dyDescent="0.25">
      <c r="A38" s="60"/>
      <c r="B38">
        <f t="shared" si="0"/>
        <v>0</v>
      </c>
    </row>
    <row r="39" spans="1:2" x14ac:dyDescent="0.25">
      <c r="A39" s="60"/>
      <c r="B39">
        <f t="shared" si="0"/>
        <v>0</v>
      </c>
    </row>
    <row r="40" spans="1:2" x14ac:dyDescent="0.25">
      <c r="A40" s="61"/>
      <c r="B40">
        <f t="shared" si="0"/>
        <v>0</v>
      </c>
    </row>
    <row r="41" spans="1:2" x14ac:dyDescent="0.25">
      <c r="A41"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Instructions &amp; Formulae</vt:lpstr>
      <vt:lpstr>Pole &amp; Guy Loading</vt:lpstr>
      <vt:lpstr>Construction</vt:lpstr>
      <vt:lpstr>Metal Pole Deflection</vt:lpstr>
      <vt:lpstr>Wood Poles</vt:lpstr>
      <vt:lpstr>Conductor</vt:lpstr>
      <vt:lpstr>Anchors</vt:lpstr>
      <vt:lpstr>Pole Class</vt:lpstr>
      <vt:lpstr>Ruling Span</vt:lpstr>
      <vt:lpstr>NESC 232-1</vt:lpstr>
      <vt:lpstr>NESC 253-1</vt:lpstr>
      <vt:lpstr>NESC 261-1A</vt:lpstr>
      <vt:lpstr>Union Steel Poles</vt:lpstr>
      <vt:lpstr>Tapp Steel Poles</vt:lpstr>
      <vt:lpstr>McWane CI Poles</vt:lpstr>
      <vt:lpstr>Sheet1</vt:lpstr>
      <vt:lpstr>CC</vt:lpstr>
      <vt:lpstr>Conductor</vt:lpstr>
      <vt:lpstr>E</vt:lpstr>
      <vt:lpstr>L</vt:lpstr>
      <vt:lpstr>McWane</vt:lpstr>
      <vt:lpstr>McWane5</vt:lpstr>
      <vt:lpstr>NESC235.1</vt:lpstr>
      <vt:lpstr>NESC261.1</vt:lpstr>
      <vt:lpstr>Poles</vt:lpstr>
      <vt:lpstr>RA</vt:lpstr>
      <vt:lpstr>RB</vt:lpstr>
      <vt:lpstr>t</vt:lpstr>
      <vt:lpstr>Tapp</vt:lpstr>
      <vt:lpstr>Union</vt:lpstr>
      <vt:lpstr>W</vt:lpstr>
      <vt:lpstr>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Carrington</dc:creator>
  <cp:lastModifiedBy>George</cp:lastModifiedBy>
  <cp:lastPrinted>2013-07-08T18:45:59Z</cp:lastPrinted>
  <dcterms:created xsi:type="dcterms:W3CDTF">2010-11-22T20:14:43Z</dcterms:created>
  <dcterms:modified xsi:type="dcterms:W3CDTF">2016-06-26T19:35:24Z</dcterms:modified>
</cp:coreProperties>
</file>